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https://esiconstruction0-my.sharepoint.com/personal/anitakeil_esiconstruction_com/Documents/Desktop/TVWLL/Schedule/"/>
    </mc:Choice>
  </mc:AlternateContent>
  <xr:revisionPtr revIDLastSave="837" documentId="13_ncr:1_{66F8055D-5274-468A-9478-044868CACF7C}" xr6:coauthVersionLast="47" xr6:coauthVersionMax="47" xr10:uidLastSave="{A122F360-B38A-4E4C-B472-149EBB706279}"/>
  <bookViews>
    <workbookView xWindow="28680" yWindow="-120" windowWidth="29040" windowHeight="15840" xr2:uid="{437D2349-5079-438F-B251-C3575F457195}"/>
  </bookViews>
  <sheets>
    <sheet name="Standings" sheetId="3" r:id="rId1"/>
    <sheet name="Schedule" sheetId="22" r:id="rId2"/>
    <sheet name="BK" sheetId="4" r:id="rId3"/>
    <sheet name="Boise" sheetId="5" r:id="rId4"/>
    <sheet name="Capital" sheetId="6" r:id="rId5"/>
    <sheet name="Centennial" sheetId="7" r:id="rId6"/>
    <sheet name="Eagle" sheetId="8" r:id="rId7"/>
    <sheet name="Idaho" sheetId="9" r:id="rId8"/>
    <sheet name="Middle" sheetId="11" r:id="rId9"/>
    <sheet name="Mtn View" sheetId="10" r:id="rId10"/>
    <sheet name="Owyhee" sheetId="12" r:id="rId11"/>
    <sheet name="Rocky" sheetId="14" r:id="rId12"/>
    <sheet name="Sun V" sheetId="18" r:id="rId13"/>
    <sheet name="Teton V" sheetId="15" r:id="rId14"/>
    <sheet name="Timber" sheetId="16" r:id="rId15"/>
    <sheet name="Vallivue" sheetId="17" r:id="rId16"/>
  </sheets>
  <definedNames>
    <definedName name="_xlnm._FilterDatabase" localSheetId="0" hidden="1">Standings!$A$11:$H$11</definedName>
    <definedName name="_xlnm.Print_Area" localSheetId="2">BK!$A$1:$K$12</definedName>
    <definedName name="_xlnm.Print_Area" localSheetId="3">Boise!$A$1:$K$22</definedName>
    <definedName name="_xlnm.Print_Area" localSheetId="4">Capital!$A$1:$K$12</definedName>
    <definedName name="_xlnm.Print_Area" localSheetId="5">Centennial!$A$1:$K$12</definedName>
    <definedName name="_xlnm.Print_Area" localSheetId="6">Eagle!$A$1:$K$12</definedName>
    <definedName name="_xlnm.Print_Area" localSheetId="7">Idaho!$A$1:$K$23</definedName>
    <definedName name="_xlnm.Print_Area" localSheetId="8">Middle!$A$1:$K$12</definedName>
    <definedName name="_xlnm.Print_Area" localSheetId="9">'Mtn View'!$A$1:$K$23</definedName>
    <definedName name="_xlnm.Print_Area" localSheetId="10">Owyhee!$A$1:$K$12</definedName>
    <definedName name="_xlnm.Print_Area" localSheetId="11">Rocky!$A$1:$K$12</definedName>
    <definedName name="_xlnm.Print_Area" localSheetId="1">Table57[#All]</definedName>
    <definedName name="_xlnm.Print_Area" localSheetId="12">'Sun V'!$A$1:$K$23</definedName>
    <definedName name="_xlnm.Print_Area" localSheetId="13">'Teton V'!$A$1:$K$22</definedName>
    <definedName name="_xlnm.Print_Area" localSheetId="14">Timber!$A$1:$K$12</definedName>
    <definedName name="_xlnm.Print_Area" localSheetId="15">Vallivue!$A$1:$K$12</definedName>
    <definedName name="_xlnm.Print_Titles" localSheetId="1">Schedule!$1:$1</definedName>
  </definedNames>
  <calcPr calcId="191029" iterate="1"/>
  <customWorkbookViews>
    <customWorkbookView name="Filter 1" guid="{AE4553D6-D5D3-4A0A-B54A-A515B906B934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4" i="18" l="1"/>
  <c r="M24" i="18"/>
  <c r="N24" i="18"/>
  <c r="L9" i="18"/>
  <c r="M9" i="18"/>
  <c r="N9" i="18"/>
  <c r="K9" i="18"/>
  <c r="L13" i="16"/>
  <c r="D15" i="3" s="1"/>
  <c r="M13" i="16"/>
  <c r="N13" i="16"/>
  <c r="G15" i="3" s="1"/>
  <c r="K13" i="16"/>
  <c r="C15" i="3" s="1"/>
  <c r="N3" i="16"/>
  <c r="M3" i="16"/>
  <c r="H7" i="3"/>
  <c r="G7" i="3"/>
  <c r="D7" i="3"/>
  <c r="C7" i="3"/>
  <c r="D14" i="3"/>
  <c r="L9" i="10"/>
  <c r="D6" i="3" s="1"/>
  <c r="M9" i="10"/>
  <c r="F6" i="3" s="1"/>
  <c r="N9" i="10"/>
  <c r="G6" i="3" s="1"/>
  <c r="L24" i="10"/>
  <c r="D18" i="3" s="1"/>
  <c r="L24" i="9"/>
  <c r="M24" i="9"/>
  <c r="F23" i="3" s="1"/>
  <c r="N24" i="9"/>
  <c r="G23" i="3" s="1"/>
  <c r="L9" i="9"/>
  <c r="D8" i="3" s="1"/>
  <c r="M9" i="9"/>
  <c r="F8" i="3" s="1"/>
  <c r="N9" i="9"/>
  <c r="G8" i="3" s="1"/>
  <c r="K9" i="9"/>
  <c r="C24" i="3"/>
  <c r="N4" i="11"/>
  <c r="M4" i="11"/>
  <c r="N3" i="12"/>
  <c r="M3" i="12"/>
  <c r="N3" i="14"/>
  <c r="N13" i="14" s="1"/>
  <c r="G14" i="3" s="1"/>
  <c r="M3" i="14"/>
  <c r="M13" i="14" s="1"/>
  <c r="F14" i="3" s="1"/>
  <c r="N4" i="8"/>
  <c r="M4" i="8"/>
  <c r="K9" i="10"/>
  <c r="C6" i="3" s="1"/>
  <c r="L23" i="5"/>
  <c r="D12" i="3" s="1"/>
  <c r="L13" i="4"/>
  <c r="D17" i="3" s="1"/>
  <c r="M13" i="4"/>
  <c r="F17" i="3" s="1"/>
  <c r="N13" i="4"/>
  <c r="G17" i="3" s="1"/>
  <c r="K13" i="4"/>
  <c r="C17" i="3" s="1"/>
  <c r="N4" i="6"/>
  <c r="M4" i="6"/>
  <c r="L13" i="7"/>
  <c r="D19" i="3" s="1"/>
  <c r="K13" i="7"/>
  <c r="C19" i="3"/>
  <c r="I3" i="8"/>
  <c r="M3" i="8" s="1"/>
  <c r="H3" i="8"/>
  <c r="N3" i="8" s="1"/>
  <c r="I14" i="10"/>
  <c r="N14" i="10" s="1"/>
  <c r="N24" i="10" s="1"/>
  <c r="H14" i="10"/>
  <c r="M14" i="10" s="1"/>
  <c r="M24" i="10" s="1"/>
  <c r="I13" i="5"/>
  <c r="M13" i="5" s="1"/>
  <c r="M23" i="5" s="1"/>
  <c r="F12" i="3" s="1"/>
  <c r="H13" i="5"/>
  <c r="N13" i="5" s="1"/>
  <c r="N23" i="5" s="1"/>
  <c r="G12" i="3" s="1"/>
  <c r="I3" i="11"/>
  <c r="N3" i="11" s="1"/>
  <c r="H3" i="11"/>
  <c r="M3" i="11" s="1"/>
  <c r="I3" i="6"/>
  <c r="M3" i="6" s="1"/>
  <c r="H3" i="6"/>
  <c r="N3" i="6" s="1"/>
  <c r="I3" i="7"/>
  <c r="N3" i="7" s="1"/>
  <c r="N13" i="7" s="1"/>
  <c r="G19" i="3" s="1"/>
  <c r="H3" i="7"/>
  <c r="M3" i="7" s="1"/>
  <c r="M13" i="7" s="1"/>
  <c r="C25" i="3"/>
  <c r="M13" i="17"/>
  <c r="F25" i="3" s="1"/>
  <c r="N13" i="17"/>
  <c r="G25" i="3" s="1"/>
  <c r="L13" i="17"/>
  <c r="D25" i="3" s="1"/>
  <c r="K13" i="17"/>
  <c r="F7" i="3"/>
  <c r="L23" i="15"/>
  <c r="D16" i="3" s="1"/>
  <c r="M23" i="15"/>
  <c r="F16" i="3" s="1"/>
  <c r="N23" i="15"/>
  <c r="G16" i="3" s="1"/>
  <c r="K23" i="15"/>
  <c r="C16" i="3" s="1"/>
  <c r="L9" i="15"/>
  <c r="M9" i="15"/>
  <c r="N9" i="15"/>
  <c r="K9" i="15"/>
  <c r="L13" i="14"/>
  <c r="K13" i="14"/>
  <c r="C14" i="3" s="1"/>
  <c r="L13" i="12"/>
  <c r="D21" i="3" s="1"/>
  <c r="M13" i="12"/>
  <c r="F21" i="3" s="1"/>
  <c r="N13" i="12"/>
  <c r="G21" i="3" s="1"/>
  <c r="K13" i="12"/>
  <c r="C21" i="3" s="1"/>
  <c r="L13" i="11"/>
  <c r="D20" i="3" s="1"/>
  <c r="K13" i="11"/>
  <c r="C20" i="3" s="1"/>
  <c r="D13" i="3"/>
  <c r="D23" i="3"/>
  <c r="C8" i="3"/>
  <c r="L13" i="8"/>
  <c r="K13" i="8"/>
  <c r="C13" i="3" s="1"/>
  <c r="L13" i="6"/>
  <c r="D24" i="3" s="1"/>
  <c r="K13" i="6"/>
  <c r="L9" i="5"/>
  <c r="D4" i="3" s="1"/>
  <c r="K9" i="5"/>
  <c r="C4" i="3" s="1"/>
  <c r="B8" i="3" l="1"/>
  <c r="B7" i="3"/>
  <c r="B6" i="3"/>
  <c r="B4" i="3"/>
  <c r="H17" i="3"/>
  <c r="H25" i="3"/>
  <c r="H23" i="3"/>
  <c r="H21" i="3"/>
  <c r="H16" i="3"/>
  <c r="H14" i="3"/>
  <c r="H8" i="3"/>
  <c r="H12" i="3"/>
  <c r="B16" i="3"/>
  <c r="E6" i="3"/>
  <c r="E8" i="3"/>
  <c r="B24" i="3"/>
  <c r="M13" i="8"/>
  <c r="F13" i="3" s="1"/>
  <c r="G18" i="3"/>
  <c r="F18" i="3"/>
  <c r="H6" i="3"/>
  <c r="M9" i="5"/>
  <c r="N13" i="11"/>
  <c r="G20" i="3" s="1"/>
  <c r="M13" i="11"/>
  <c r="F20" i="3" s="1"/>
  <c r="F19" i="3"/>
  <c r="H19" i="3" s="1"/>
  <c r="M13" i="6"/>
  <c r="F24" i="3" s="1"/>
  <c r="N13" i="6"/>
  <c r="G24" i="3" s="1"/>
  <c r="B25" i="3"/>
  <c r="F15" i="3"/>
  <c r="H15" i="3" s="1"/>
  <c r="B19" i="3"/>
  <c r="E24" i="3"/>
  <c r="E15" i="3"/>
  <c r="B15" i="3"/>
  <c r="E25" i="3"/>
  <c r="E16" i="3"/>
  <c r="E7" i="3"/>
  <c r="B14" i="3"/>
  <c r="E14" i="3"/>
  <c r="B21" i="3"/>
  <c r="E21" i="3"/>
  <c r="E20" i="3"/>
  <c r="B20" i="3"/>
  <c r="E13" i="3"/>
  <c r="B13" i="3"/>
  <c r="N9" i="5"/>
  <c r="G4" i="3" s="1"/>
  <c r="N13" i="8"/>
  <c r="G13" i="3" s="1"/>
  <c r="E19" i="3"/>
  <c r="E4" i="3"/>
  <c r="B17" i="3"/>
  <c r="E17" i="3"/>
  <c r="H20" i="3" l="1"/>
  <c r="F4" i="3"/>
  <c r="H4" i="3" s="1"/>
  <c r="H24" i="3"/>
  <c r="H18" i="3"/>
  <c r="K24" i="9"/>
  <c r="C23" i="3" s="1"/>
  <c r="H13" i="3"/>
  <c r="K23" i="5"/>
  <c r="C12" i="3" s="1"/>
  <c r="E23" i="3" l="1"/>
  <c r="B23" i="3"/>
  <c r="K24" i="10"/>
  <c r="C18" i="3" s="1"/>
  <c r="B18" i="3" s="1"/>
  <c r="B12" i="3"/>
  <c r="E12" i="3"/>
  <c r="K24" i="18" l="1"/>
  <c r="C22" i="3" s="1"/>
  <c r="E18" i="3"/>
  <c r="C5" i="3"/>
  <c r="D5" i="3"/>
  <c r="E5" i="3" s="1"/>
  <c r="F5" i="3"/>
  <c r="G5" i="3"/>
  <c r="D22" i="3"/>
  <c r="B22" i="3" s="1"/>
  <c r="F22" i="3"/>
  <c r="G22" i="3"/>
  <c r="H22" i="3" s="1"/>
  <c r="H5" i="3" l="1"/>
  <c r="B5" i="3"/>
  <c r="E22" i="3"/>
</calcChain>
</file>

<file path=xl/sharedStrings.xml><?xml version="1.0" encoding="utf-8"?>
<sst xmlns="http://schemas.openxmlformats.org/spreadsheetml/2006/main" count="1665" uniqueCount="116">
  <si>
    <t>JV</t>
  </si>
  <si>
    <t>Team</t>
  </si>
  <si>
    <t>GP</t>
  </si>
  <si>
    <t>W</t>
  </si>
  <si>
    <t>L</t>
  </si>
  <si>
    <t>PCT</t>
  </si>
  <si>
    <t>GF</t>
  </si>
  <si>
    <t>GA</t>
  </si>
  <si>
    <t>Mountain View</t>
  </si>
  <si>
    <t>Boise</t>
  </si>
  <si>
    <t>Bishop Kelly</t>
  </si>
  <si>
    <t>Sun Valley</t>
  </si>
  <si>
    <t>Teton Valley</t>
  </si>
  <si>
    <t>Varsity</t>
  </si>
  <si>
    <t>Eagle</t>
  </si>
  <si>
    <t>Middleton</t>
  </si>
  <si>
    <t>Vallivue</t>
  </si>
  <si>
    <t>Rocky Mountain</t>
  </si>
  <si>
    <t>Centennial</t>
  </si>
  <si>
    <t>Timberline</t>
  </si>
  <si>
    <t>Owyhee</t>
  </si>
  <si>
    <t>Idaho Falls</t>
  </si>
  <si>
    <t>Capital</t>
  </si>
  <si>
    <t>Date</t>
  </si>
  <si>
    <t>Start</t>
  </si>
  <si>
    <t>Away</t>
  </si>
  <si>
    <t>Facility</t>
  </si>
  <si>
    <t>V</t>
  </si>
  <si>
    <t>Notes</t>
  </si>
  <si>
    <t>Frank Church HS - 3608 S. Milwaukee Lane, Boise, ID 83709</t>
  </si>
  <si>
    <t>BK - 7009 W Franklin Road, Boise ID 83709</t>
  </si>
  <si>
    <t>Boise High School (Turf Field) - 1010 W Washington St, Boise, ID 83702</t>
  </si>
  <si>
    <t>Centennial HS - 12400 W McMillan Rd, Boise ID 83713</t>
  </si>
  <si>
    <t>Eagle HS - 574 N Park Lane, Eagle ID 83616</t>
  </si>
  <si>
    <t>East Junior High - 5600 E Warm Springs Ave, Boise ID 83716</t>
  </si>
  <si>
    <t>Middleton High School - 1538 Emmett Rd, Middleton ID 83709</t>
  </si>
  <si>
    <t>Mtn. View High School - 2000 S Millenium Way, Meridian ID 83642</t>
  </si>
  <si>
    <t xml:space="preserve">Vallivue HS - 1407 E Homedale Rd, Caldwell ID </t>
  </si>
  <si>
    <t>Rocky Mtn HS - 5450 N Linder Rd, Meridian ID 83646</t>
  </si>
  <si>
    <t>Owyhee HS - 3650 N Owyhee Storm Ave, Meridian ID 83646</t>
  </si>
  <si>
    <t>Away Total</t>
  </si>
  <si>
    <t>Home Total</t>
  </si>
  <si>
    <t>Day</t>
  </si>
  <si>
    <t>Thursday</t>
  </si>
  <si>
    <t>Saturday</t>
  </si>
  <si>
    <t>Monday</t>
  </si>
  <si>
    <t>Tuesday</t>
  </si>
  <si>
    <t>Wednesday</t>
  </si>
  <si>
    <t>Friday</t>
  </si>
  <si>
    <t xml:space="preserve">Boise </t>
  </si>
  <si>
    <t xml:space="preserve">Capital </t>
  </si>
  <si>
    <t xml:space="preserve">Centennial </t>
  </si>
  <si>
    <t>Junior Varsity</t>
  </si>
  <si>
    <t>Week</t>
  </si>
  <si>
    <t>GP - Games Played</t>
  </si>
  <si>
    <t>W - Wins</t>
  </si>
  <si>
    <t>L - Losses</t>
  </si>
  <si>
    <t>GF - Goals For</t>
  </si>
  <si>
    <t>GA - Goals Against</t>
  </si>
  <si>
    <t>Legend</t>
  </si>
  <si>
    <t>PCT - Winning Percentage</t>
  </si>
  <si>
    <t xml:space="preserve">Week </t>
  </si>
  <si>
    <t xml:space="preserve">Home </t>
  </si>
  <si>
    <t xml:space="preserve">Level </t>
  </si>
  <si>
    <t xml:space="preserve">Idaho Falls </t>
  </si>
  <si>
    <t xml:space="preserve">Away </t>
  </si>
  <si>
    <t xml:space="preserve">Home Total </t>
  </si>
  <si>
    <t xml:space="preserve">1261 Fox Acres Road Hailey, ID </t>
  </si>
  <si>
    <t>7.15 PM</t>
  </si>
  <si>
    <t>Bishop Kelly - Varsity</t>
  </si>
  <si>
    <t>Boise - Junior Varsity</t>
  </si>
  <si>
    <t>Boise - Varsity</t>
  </si>
  <si>
    <t>Capital - Varsity</t>
  </si>
  <si>
    <t>Centennial - Varsity</t>
  </si>
  <si>
    <t>Eagle - Varsity</t>
  </si>
  <si>
    <t>Idaho Falls - Junior Varsity</t>
  </si>
  <si>
    <t>Idaho Falls - Varsity</t>
  </si>
  <si>
    <t>Middleton - Varsity</t>
  </si>
  <si>
    <t>Mountain View - Junior Varsity</t>
  </si>
  <si>
    <t>Mountain View - Varsity</t>
  </si>
  <si>
    <t>Owyhee - Varsity</t>
  </si>
  <si>
    <t>Rocky Mountain - Varsity</t>
  </si>
  <si>
    <t>Sun Valley - Junior Varsity</t>
  </si>
  <si>
    <t>Sun Valley - Varsity</t>
  </si>
  <si>
    <t>Teton Valley - Junior Varsity</t>
  </si>
  <si>
    <t>Teton Valley - Varsity</t>
  </si>
  <si>
    <t>Timberline - Varsity</t>
  </si>
  <si>
    <t>Vallivue - Varsity</t>
  </si>
  <si>
    <t>1.15PM</t>
  </si>
  <si>
    <t>Pocatello - Location TBD</t>
  </si>
  <si>
    <t>Ravsten Stadium - 690 John Adams Pkwy, Idaho Falls ID 83401</t>
  </si>
  <si>
    <t>Heritage Middle School - 4990 N. Meridian ID Meridian 83646</t>
  </si>
  <si>
    <t>495 N 1st Street, Driggs ID 83455</t>
  </si>
  <si>
    <t>TBD</t>
  </si>
  <si>
    <t>TBD - Treasure Valley (AK working on a location)</t>
  </si>
  <si>
    <t>Under review by both teams - TBD</t>
  </si>
  <si>
    <t>TBD - Treasure Valley location (AK working on getting a facility)</t>
  </si>
  <si>
    <t>Vallivue Field - 5207 S. Montana Ave,  Caldwell ID 5207</t>
  </si>
  <si>
    <t>2025 TVWLL League Standings</t>
  </si>
  <si>
    <t xml:space="preserve">Win </t>
  </si>
  <si>
    <t>Loss</t>
  </si>
  <si>
    <t>Win</t>
  </si>
  <si>
    <t>Game Played</t>
  </si>
  <si>
    <t>DIFF</t>
  </si>
  <si>
    <t>Game was forfeited</t>
  </si>
  <si>
    <t>Looking to move to 4pm, 05/3 in Idaho Falls</t>
  </si>
  <si>
    <t>Taylorview Middle School - 350 Castlerock Lane, Idaho Falls ID 83404</t>
  </si>
  <si>
    <t>D</t>
  </si>
  <si>
    <t>3/27/25 - Verified the location</t>
  </si>
  <si>
    <t>Taylorview Middle School - 350 Castlerock Lane, Idaho Falls ID 83405</t>
  </si>
  <si>
    <t>Taylorview Middle School - 350 Castlerock Lane, Idaho Falls ID 83406</t>
  </si>
  <si>
    <t>3/29/25 - Moved time and date</t>
  </si>
  <si>
    <t>3/30 - Request to move to 6.45pm start</t>
  </si>
  <si>
    <t>3/31 - revised start time to 6.45pm</t>
  </si>
  <si>
    <t>3/31 - Start date moved to 6.30pm</t>
  </si>
  <si>
    <t>3/31 - Date and Location changed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</si>
</sst>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00"/>
    <numFmt numFmtId="165" formatCode="mm/dd/yy;@"/>
    <numFmt numFmtId="166" formatCode="[$-409]h:mm\ AM/PM;@"/>
    <numFmt numFmtId="167" formatCode="_(* #,##0_);_(* \(#,##0\);_(* &quot;-&quot;??_);_(@_)"/>
    <numFmt numFmtId="168" formatCode="0_);[Red]\(0\)"/>
  </numFmts>
  <fonts count="20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b/>
      <sz val="13"/>
      <color rgb="FF000000"/>
      <name val="Calibri"/>
      <family val="2"/>
    </font>
    <font>
      <sz val="12"/>
      <color theme="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8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3"/>
      <color rgb="FF000000"/>
      <name val="Calibri"/>
      <family val="2"/>
    </font>
    <font>
      <sz val="10"/>
      <color rgb="FF000000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name val="Arial"/>
      <family val="2"/>
      <scheme val="minor"/>
    </font>
    <font>
      <sz val="10"/>
      <color rgb="FFFF0000"/>
      <name val="Arial"/>
      <family val="2"/>
      <scheme val="minor"/>
    </font>
    <font>
      <sz val="10"/>
      <color rgb="FF000000"/>
      <name val="Times New Roman"/>
      <family val="1"/>
    </font>
    <font>
      <b/>
      <sz val="16"/>
      <color theme="0" tint="-4.9989318521683403E-2"/>
      <name val="Calibri"/>
      <family val="2"/>
    </font>
    <font>
      <b/>
      <sz val="10"/>
      <color theme="1"/>
      <name val="Arial"/>
      <family val="2"/>
      <scheme val="minor"/>
    </font>
    <font>
      <b/>
      <sz val="10"/>
      <name val="Arial"/>
      <family val="2"/>
      <scheme val="minor"/>
    </font>
    <font>
      <sz val="9"/>
      <name val="Arial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D9D9D9"/>
        <bgColor rgb="FFD9D9D9"/>
      </patternFill>
    </fill>
    <fill>
      <patternFill patternType="solid">
        <fgColor rgb="FFB7B7B7"/>
        <bgColor rgb="FFB7B7B7"/>
      </patternFill>
    </fill>
    <fill>
      <patternFill patternType="solid">
        <fgColor theme="4" tint="0.59999389629810485"/>
        <bgColor rgb="FFD8D8D8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rgb="FFD9D9D9"/>
      </patternFill>
    </fill>
    <fill>
      <patternFill patternType="solid">
        <fgColor rgb="FFCC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33CCCC"/>
        <bgColor indexed="64"/>
      </patternFill>
    </fill>
  </fills>
  <borders count="41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999999"/>
      </right>
      <top/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/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0" fontId="15" fillId="0" borderId="2"/>
  </cellStyleXfs>
  <cellXfs count="241">
    <xf numFmtId="0" fontId="0" fillId="0" borderId="0" xfId="0"/>
    <xf numFmtId="0" fontId="4" fillId="0" borderId="2" xfId="0" applyFont="1" applyBorder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wrapText="1"/>
    </xf>
    <xf numFmtId="167" fontId="4" fillId="0" borderId="2" xfId="1" applyNumberFormat="1" applyFont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/>
    </xf>
    <xf numFmtId="165" fontId="4" fillId="0" borderId="2" xfId="0" applyNumberFormat="1" applyFont="1" applyBorder="1"/>
    <xf numFmtId="166" fontId="7" fillId="0" borderId="2" xfId="0" applyNumberFormat="1" applyFont="1" applyBorder="1" applyAlignment="1">
      <alignment horizontal="center"/>
    </xf>
    <xf numFmtId="166" fontId="4" fillId="0" borderId="2" xfId="0" applyNumberFormat="1" applyFont="1" applyBorder="1"/>
    <xf numFmtId="0" fontId="0" fillId="0" borderId="0" xfId="0" applyAlignment="1">
      <alignment horizontal="center"/>
    </xf>
    <xf numFmtId="0" fontId="6" fillId="0" borderId="8" xfId="0" applyFont="1" applyBorder="1" applyAlignment="1">
      <alignment wrapText="1"/>
    </xf>
    <xf numFmtId="0" fontId="0" fillId="0" borderId="9" xfId="0" applyBorder="1"/>
    <xf numFmtId="0" fontId="0" fillId="0" borderId="10" xfId="0" applyBorder="1"/>
    <xf numFmtId="0" fontId="11" fillId="0" borderId="2" xfId="0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0" fillId="0" borderId="2" xfId="0" applyBorder="1"/>
    <xf numFmtId="0" fontId="11" fillId="0" borderId="8" xfId="0" applyFont="1" applyBorder="1" applyAlignment="1">
      <alignment horizontal="center" vertical="center"/>
    </xf>
    <xf numFmtId="0" fontId="11" fillId="0" borderId="2" xfId="0" applyFont="1" applyBorder="1"/>
    <xf numFmtId="168" fontId="7" fillId="0" borderId="2" xfId="1" applyNumberFormat="1" applyFont="1" applyBorder="1" applyAlignment="1">
      <alignment horizontal="center" vertical="center"/>
    </xf>
    <xf numFmtId="165" fontId="6" fillId="2" borderId="3" xfId="0" applyNumberFormat="1" applyFont="1" applyFill="1" applyBorder="1" applyAlignment="1">
      <alignment horizontal="center" wrapText="1"/>
    </xf>
    <xf numFmtId="166" fontId="6" fillId="2" borderId="3" xfId="0" applyNumberFormat="1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168" fontId="7" fillId="0" borderId="2" xfId="1" applyNumberFormat="1" applyFont="1" applyFill="1" applyBorder="1" applyAlignment="1">
      <alignment horizontal="center" vertical="center"/>
    </xf>
    <xf numFmtId="167" fontId="6" fillId="2" borderId="12" xfId="1" applyNumberFormat="1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wrapText="1"/>
    </xf>
    <xf numFmtId="167" fontId="6" fillId="2" borderId="14" xfId="1" applyNumberFormat="1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wrapText="1"/>
    </xf>
    <xf numFmtId="0" fontId="6" fillId="2" borderId="17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top"/>
    </xf>
    <xf numFmtId="0" fontId="11" fillId="0" borderId="11" xfId="0" applyFont="1" applyBorder="1" applyAlignment="1">
      <alignment horizontal="center" vertical="top"/>
    </xf>
    <xf numFmtId="18" fontId="11" fillId="0" borderId="11" xfId="0" applyNumberFormat="1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top"/>
    </xf>
    <xf numFmtId="165" fontId="13" fillId="0" borderId="11" xfId="0" applyNumberFormat="1" applyFont="1" applyBorder="1" applyAlignment="1">
      <alignment horizontal="center" vertical="top"/>
    </xf>
    <xf numFmtId="0" fontId="14" fillId="0" borderId="11" xfId="0" applyFont="1" applyBorder="1" applyAlignment="1">
      <alignment horizontal="center" vertical="top"/>
    </xf>
    <xf numFmtId="18" fontId="0" fillId="0" borderId="11" xfId="0" applyNumberFormat="1" applyBorder="1" applyAlignment="1">
      <alignment horizontal="center" vertical="top"/>
    </xf>
    <xf numFmtId="0" fontId="9" fillId="0" borderId="11" xfId="0" applyFont="1" applyBorder="1" applyAlignment="1">
      <alignment horizontal="center" vertical="top"/>
    </xf>
    <xf numFmtId="18" fontId="13" fillId="0" borderId="11" xfId="0" applyNumberFormat="1" applyFont="1" applyBorder="1" applyAlignment="1">
      <alignment horizontal="center" vertical="top"/>
    </xf>
    <xf numFmtId="17" fontId="11" fillId="0" borderId="11" xfId="0" applyNumberFormat="1" applyFont="1" applyBorder="1" applyAlignment="1">
      <alignment horizontal="center" vertical="top"/>
    </xf>
    <xf numFmtId="0" fontId="14" fillId="0" borderId="11" xfId="0" applyFont="1" applyBorder="1" applyAlignment="1">
      <alignment horizontal="center" vertical="top" wrapText="1"/>
    </xf>
    <xf numFmtId="18" fontId="9" fillId="0" borderId="11" xfId="0" applyNumberFormat="1" applyFont="1" applyBorder="1" applyAlignment="1">
      <alignment horizontal="center" vertical="top"/>
    </xf>
    <xf numFmtId="165" fontId="9" fillId="0" borderId="11" xfId="0" applyNumberFormat="1" applyFont="1" applyBorder="1" applyAlignment="1">
      <alignment horizontal="center" vertical="top"/>
    </xf>
    <xf numFmtId="165" fontId="13" fillId="7" borderId="11" xfId="0" applyNumberFormat="1" applyFont="1" applyFill="1" applyBorder="1" applyAlignment="1">
      <alignment horizontal="center" vertical="top"/>
    </xf>
    <xf numFmtId="0" fontId="11" fillId="7" borderId="11" xfId="0" applyFont="1" applyFill="1" applyBorder="1" applyAlignment="1">
      <alignment horizontal="center" vertical="top"/>
    </xf>
    <xf numFmtId="18" fontId="11" fillId="7" borderId="11" xfId="0" applyNumberFormat="1" applyFont="1" applyFill="1" applyBorder="1" applyAlignment="1">
      <alignment horizontal="center" vertical="top"/>
    </xf>
    <xf numFmtId="0" fontId="0" fillId="7" borderId="11" xfId="0" applyFill="1" applyBorder="1" applyAlignment="1">
      <alignment horizontal="center" vertical="top"/>
    </xf>
    <xf numFmtId="0" fontId="11" fillId="0" borderId="8" xfId="0" applyFont="1" applyBorder="1" applyAlignment="1">
      <alignment vertical="center"/>
    </xf>
    <xf numFmtId="0" fontId="13" fillId="0" borderId="11" xfId="0" applyFont="1" applyBorder="1" applyAlignment="1">
      <alignment vertical="top"/>
    </xf>
    <xf numFmtId="0" fontId="13" fillId="7" borderId="11" xfId="0" applyFont="1" applyFill="1" applyBorder="1" applyAlignment="1">
      <alignment vertical="top"/>
    </xf>
    <xf numFmtId="0" fontId="9" fillId="0" borderId="11" xfId="0" applyFont="1" applyBorder="1" applyAlignment="1">
      <alignment vertical="top"/>
    </xf>
    <xf numFmtId="0" fontId="11" fillId="0" borderId="18" xfId="0" applyFont="1" applyBorder="1" applyAlignment="1">
      <alignment horizontal="center" vertical="top"/>
    </xf>
    <xf numFmtId="165" fontId="13" fillId="0" borderId="18" xfId="0" applyNumberFormat="1" applyFont="1" applyBorder="1" applyAlignment="1">
      <alignment horizontal="center" vertical="top"/>
    </xf>
    <xf numFmtId="0" fontId="13" fillId="0" borderId="18" xfId="0" applyFont="1" applyBorder="1" applyAlignment="1">
      <alignment vertical="top"/>
    </xf>
    <xf numFmtId="18" fontId="11" fillId="0" borderId="18" xfId="0" applyNumberFormat="1" applyFont="1" applyBorder="1" applyAlignment="1">
      <alignment horizontal="center" vertical="top"/>
    </xf>
    <xf numFmtId="0" fontId="9" fillId="0" borderId="18" xfId="0" applyFont="1" applyBorder="1" applyAlignment="1">
      <alignment horizontal="center" vertical="top"/>
    </xf>
    <xf numFmtId="0" fontId="14" fillId="0" borderId="2" xfId="0" applyFont="1" applyBorder="1" applyAlignment="1">
      <alignment horizontal="center" vertical="top"/>
    </xf>
    <xf numFmtId="167" fontId="6" fillId="2" borderId="24" xfId="1" applyNumberFormat="1" applyFont="1" applyFill="1" applyBorder="1" applyAlignment="1">
      <alignment horizontal="center" vertical="center" wrapText="1"/>
    </xf>
    <xf numFmtId="165" fontId="6" fillId="2" borderId="11" xfId="0" applyNumberFormat="1" applyFont="1" applyFill="1" applyBorder="1" applyAlignment="1">
      <alignment horizontal="center" wrapText="1"/>
    </xf>
    <xf numFmtId="166" fontId="6" fillId="2" borderId="11" xfId="0" applyNumberFormat="1" applyFont="1" applyFill="1" applyBorder="1" applyAlignment="1">
      <alignment horizontal="center" wrapText="1"/>
    </xf>
    <xf numFmtId="0" fontId="6" fillId="2" borderId="11" xfId="0" applyFont="1" applyFill="1" applyBorder="1" applyAlignment="1">
      <alignment horizont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165" fontId="13" fillId="7" borderId="23" xfId="0" applyNumberFormat="1" applyFont="1" applyFill="1" applyBorder="1" applyAlignment="1">
      <alignment horizontal="center" vertical="top"/>
    </xf>
    <xf numFmtId="0" fontId="11" fillId="7" borderId="23" xfId="0" applyFont="1" applyFill="1" applyBorder="1" applyAlignment="1">
      <alignment horizontal="center" vertical="top"/>
    </xf>
    <xf numFmtId="18" fontId="11" fillId="7" borderId="23" xfId="0" applyNumberFormat="1" applyFont="1" applyFill="1" applyBorder="1" applyAlignment="1">
      <alignment horizontal="center" vertical="top"/>
    </xf>
    <xf numFmtId="0" fontId="0" fillId="7" borderId="23" xfId="0" applyFill="1" applyBorder="1" applyAlignment="1">
      <alignment horizontal="center" vertical="top"/>
    </xf>
    <xf numFmtId="0" fontId="13" fillId="7" borderId="23" xfId="0" applyFont="1" applyFill="1" applyBorder="1" applyAlignment="1">
      <alignment vertical="top"/>
    </xf>
    <xf numFmtId="167" fontId="6" fillId="2" borderId="28" xfId="1" applyNumberFormat="1" applyFont="1" applyFill="1" applyBorder="1" applyAlignment="1">
      <alignment horizontal="center" vertical="center" wrapText="1"/>
    </xf>
    <xf numFmtId="165" fontId="6" fillId="2" borderId="29" xfId="0" applyNumberFormat="1" applyFont="1" applyFill="1" applyBorder="1" applyAlignment="1">
      <alignment horizontal="center" wrapText="1"/>
    </xf>
    <xf numFmtId="166" fontId="6" fillId="2" borderId="29" xfId="0" applyNumberFormat="1" applyFont="1" applyFill="1" applyBorder="1" applyAlignment="1">
      <alignment horizontal="center" wrapText="1"/>
    </xf>
    <xf numFmtId="0" fontId="6" fillId="2" borderId="29" xfId="0" applyFont="1" applyFill="1" applyBorder="1" applyAlignment="1">
      <alignment horizont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/>
    </xf>
    <xf numFmtId="0" fontId="11" fillId="0" borderId="2" xfId="0" applyFont="1" applyBorder="1" applyAlignment="1">
      <alignment horizontal="center" vertical="top"/>
    </xf>
    <xf numFmtId="165" fontId="13" fillId="0" borderId="2" xfId="0" applyNumberFormat="1" applyFont="1" applyBorder="1" applyAlignment="1">
      <alignment horizontal="center" vertical="top"/>
    </xf>
    <xf numFmtId="0" fontId="13" fillId="0" borderId="2" xfId="0" applyFont="1" applyBorder="1" applyAlignment="1">
      <alignment vertical="top"/>
    </xf>
    <xf numFmtId="18" fontId="11" fillId="0" borderId="2" xfId="0" applyNumberFormat="1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9" fillId="0" borderId="11" xfId="0" applyFont="1" applyBorder="1" applyAlignment="1">
      <alignment horizontal="left" vertical="top"/>
    </xf>
    <xf numFmtId="165" fontId="13" fillId="0" borderId="11" xfId="0" applyNumberFormat="1" applyFont="1" applyBorder="1" applyAlignment="1">
      <alignment horizontal="center" vertical="top" wrapText="1"/>
    </xf>
    <xf numFmtId="0" fontId="1" fillId="0" borderId="11" xfId="0" applyFont="1" applyBorder="1" applyAlignment="1">
      <alignment horizontal="left" vertical="top" wrapText="1"/>
    </xf>
    <xf numFmtId="0" fontId="13" fillId="0" borderId="1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9" fillId="0" borderId="2" xfId="0" applyFont="1" applyBorder="1" applyAlignment="1">
      <alignment horizontal="center"/>
    </xf>
    <xf numFmtId="0" fontId="13" fillId="0" borderId="11" xfId="0" applyFont="1" applyBorder="1" applyAlignment="1">
      <alignment horizontal="left" vertical="top" wrapText="1"/>
    </xf>
    <xf numFmtId="0" fontId="5" fillId="0" borderId="11" xfId="0" applyFont="1" applyBorder="1" applyAlignment="1">
      <alignment vertical="top" wrapText="1"/>
    </xf>
    <xf numFmtId="0" fontId="11" fillId="0" borderId="26" xfId="0" applyFont="1" applyBorder="1" applyAlignment="1">
      <alignment horizontal="center" vertical="top"/>
    </xf>
    <xf numFmtId="165" fontId="13" fillId="0" borderId="19" xfId="0" applyNumberFormat="1" applyFont="1" applyBorder="1" applyAlignment="1">
      <alignment horizontal="center" vertical="top"/>
    </xf>
    <xf numFmtId="0" fontId="11" fillId="0" borderId="19" xfId="0" applyFont="1" applyBorder="1" applyAlignment="1">
      <alignment horizontal="center" vertical="top"/>
    </xf>
    <xf numFmtId="18" fontId="0" fillId="0" borderId="19" xfId="0" applyNumberFormat="1" applyBorder="1" applyAlignment="1">
      <alignment horizontal="center" vertical="top"/>
    </xf>
    <xf numFmtId="0" fontId="13" fillId="0" borderId="19" xfId="0" applyFont="1" applyBorder="1" applyAlignment="1">
      <alignment vertical="top"/>
    </xf>
    <xf numFmtId="18" fontId="11" fillId="0" borderId="19" xfId="0" applyNumberFormat="1" applyFont="1" applyBorder="1" applyAlignment="1">
      <alignment horizontal="center" vertical="top"/>
    </xf>
    <xf numFmtId="0" fontId="9" fillId="0" borderId="26" xfId="0" applyFont="1" applyBorder="1" applyAlignment="1">
      <alignment horizontal="center" vertical="top"/>
    </xf>
    <xf numFmtId="0" fontId="9" fillId="0" borderId="19" xfId="0" applyFont="1" applyBorder="1" applyAlignment="1">
      <alignment horizontal="center" vertical="top"/>
    </xf>
    <xf numFmtId="18" fontId="9" fillId="0" borderId="19" xfId="0" applyNumberFormat="1" applyFont="1" applyBorder="1" applyAlignment="1">
      <alignment horizontal="center" vertical="top"/>
    </xf>
    <xf numFmtId="0" fontId="11" fillId="0" borderId="20" xfId="0" applyFont="1" applyBorder="1" applyAlignment="1">
      <alignment horizontal="center" vertical="top"/>
    </xf>
    <xf numFmtId="165" fontId="13" fillId="0" borderId="27" xfId="0" applyNumberFormat="1" applyFont="1" applyBorder="1" applyAlignment="1">
      <alignment horizontal="center" vertical="top"/>
    </xf>
    <xf numFmtId="0" fontId="11" fillId="0" borderId="27" xfId="0" applyFont="1" applyBorder="1" applyAlignment="1">
      <alignment horizontal="center" vertical="top"/>
    </xf>
    <xf numFmtId="18" fontId="11" fillId="0" borderId="27" xfId="0" applyNumberFormat="1" applyFont="1" applyBorder="1" applyAlignment="1">
      <alignment horizontal="center" vertical="top"/>
    </xf>
    <xf numFmtId="0" fontId="13" fillId="0" borderId="27" xfId="0" applyFont="1" applyBorder="1" applyAlignment="1">
      <alignment vertical="top"/>
    </xf>
    <xf numFmtId="0" fontId="0" fillId="0" borderId="19" xfId="0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 wrapText="1"/>
    </xf>
    <xf numFmtId="0" fontId="13" fillId="0" borderId="30" xfId="0" applyFont="1" applyBorder="1" applyAlignment="1">
      <alignment vertical="top"/>
    </xf>
    <xf numFmtId="0" fontId="6" fillId="2" borderId="31" xfId="0" applyFont="1" applyFill="1" applyBorder="1" applyAlignment="1">
      <alignment horizontal="center" wrapText="1"/>
    </xf>
    <xf numFmtId="0" fontId="14" fillId="0" borderId="24" xfId="0" applyFont="1" applyBorder="1" applyAlignment="1">
      <alignment horizontal="center" vertical="top"/>
    </xf>
    <xf numFmtId="0" fontId="1" fillId="0" borderId="25" xfId="0" applyFont="1" applyBorder="1" applyAlignment="1">
      <alignment horizontal="center" vertical="top"/>
    </xf>
    <xf numFmtId="0" fontId="11" fillId="0" borderId="24" xfId="0" applyFont="1" applyBorder="1" applyAlignment="1">
      <alignment horizontal="center" vertical="top"/>
    </xf>
    <xf numFmtId="0" fontId="14" fillId="0" borderId="24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left" vertical="top" wrapText="1"/>
    </xf>
    <xf numFmtId="0" fontId="9" fillId="0" borderId="24" xfId="0" applyFont="1" applyBorder="1" applyAlignment="1">
      <alignment horizontal="center" vertical="top"/>
    </xf>
    <xf numFmtId="165" fontId="13" fillId="0" borderId="0" xfId="0" applyNumberFormat="1" applyFont="1" applyAlignment="1">
      <alignment horizontal="center" vertical="center"/>
    </xf>
    <xf numFmtId="0" fontId="9" fillId="0" borderId="2" xfId="0" applyFont="1" applyBorder="1"/>
    <xf numFmtId="0" fontId="0" fillId="0" borderId="2" xfId="0" applyBorder="1" applyAlignment="1">
      <alignment horizontal="center"/>
    </xf>
    <xf numFmtId="0" fontId="13" fillId="0" borderId="2" xfId="0" applyFont="1" applyBorder="1" applyAlignment="1">
      <alignment horizontal="left"/>
    </xf>
    <xf numFmtId="0" fontId="0" fillId="0" borderId="2" xfId="0" applyBorder="1" applyAlignment="1">
      <alignment horizontal="center" vertical="top"/>
    </xf>
    <xf numFmtId="0" fontId="3" fillId="0" borderId="32" xfId="0" applyFont="1" applyBorder="1" applyAlignment="1">
      <alignment horizontal="center" vertical="center"/>
    </xf>
    <xf numFmtId="164" fontId="3" fillId="0" borderId="32" xfId="0" applyNumberFormat="1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0" fontId="1" fillId="0" borderId="34" xfId="0" applyFont="1" applyBorder="1" applyAlignment="1">
      <alignment horizontal="center" vertical="top"/>
    </xf>
    <xf numFmtId="0" fontId="17" fillId="0" borderId="11" xfId="0" applyFont="1" applyBorder="1" applyAlignment="1">
      <alignment horizontal="center" vertical="top"/>
    </xf>
    <xf numFmtId="0" fontId="17" fillId="0" borderId="25" xfId="0" applyFont="1" applyBorder="1" applyAlignment="1">
      <alignment horizontal="center" vertical="top"/>
    </xf>
    <xf numFmtId="0" fontId="17" fillId="0" borderId="24" xfId="0" applyFont="1" applyBorder="1" applyAlignment="1">
      <alignment horizontal="center" vertical="top" wrapText="1"/>
    </xf>
    <xf numFmtId="0" fontId="17" fillId="0" borderId="11" xfId="0" applyFont="1" applyBorder="1" applyAlignment="1">
      <alignment horizontal="center" vertical="top" wrapText="1"/>
    </xf>
    <xf numFmtId="0" fontId="13" fillId="0" borderId="18" xfId="0" applyFont="1" applyBorder="1" applyAlignment="1">
      <alignment horizontal="left" vertical="top"/>
    </xf>
    <xf numFmtId="18" fontId="0" fillId="0" borderId="18" xfId="0" applyNumberFormat="1" applyBorder="1" applyAlignment="1">
      <alignment horizontal="center" vertical="top"/>
    </xf>
    <xf numFmtId="0" fontId="13" fillId="0" borderId="18" xfId="0" applyFont="1" applyBorder="1" applyAlignment="1">
      <alignment horizontal="left" vertical="top" wrapText="1"/>
    </xf>
    <xf numFmtId="0" fontId="0" fillId="9" borderId="11" xfId="0" applyFill="1" applyBorder="1" applyAlignment="1">
      <alignment horizontal="center" vertical="top"/>
    </xf>
    <xf numFmtId="165" fontId="12" fillId="9" borderId="11" xfId="0" applyNumberFormat="1" applyFont="1" applyFill="1" applyBorder="1" applyAlignment="1">
      <alignment horizontal="center" vertical="top"/>
    </xf>
    <xf numFmtId="0" fontId="11" fillId="9" borderId="11" xfId="0" applyFont="1" applyFill="1" applyBorder="1" applyAlignment="1">
      <alignment horizontal="center" vertical="top"/>
    </xf>
    <xf numFmtId="18" fontId="11" fillId="9" borderId="11" xfId="0" applyNumberFormat="1" applyFont="1" applyFill="1" applyBorder="1" applyAlignment="1">
      <alignment horizontal="center" vertical="top"/>
    </xf>
    <xf numFmtId="0" fontId="13" fillId="9" borderId="11" xfId="0" applyFont="1" applyFill="1" applyBorder="1" applyAlignment="1">
      <alignment vertical="top"/>
    </xf>
    <xf numFmtId="165" fontId="13" fillId="9" borderId="11" xfId="0" applyNumberFormat="1" applyFont="1" applyFill="1" applyBorder="1" applyAlignment="1">
      <alignment horizontal="center" vertical="top"/>
    </xf>
    <xf numFmtId="0" fontId="9" fillId="9" borderId="11" xfId="0" applyFont="1" applyFill="1" applyBorder="1" applyAlignment="1">
      <alignment horizontal="center" vertical="top"/>
    </xf>
    <xf numFmtId="0" fontId="13" fillId="0" borderId="24" xfId="0" applyFont="1" applyBorder="1" applyAlignment="1">
      <alignment horizontal="center" vertical="top"/>
    </xf>
    <xf numFmtId="0" fontId="13" fillId="0" borderId="24" xfId="0" applyFont="1" applyBorder="1" applyAlignment="1">
      <alignment horizontal="center" vertical="top" wrapText="1"/>
    </xf>
    <xf numFmtId="0" fontId="13" fillId="0" borderId="11" xfId="0" applyFont="1" applyBorder="1" applyAlignment="1">
      <alignment horizontal="center" vertical="top" wrapText="1"/>
    </xf>
    <xf numFmtId="0" fontId="13" fillId="0" borderId="24" xfId="0" applyFont="1" applyBorder="1" applyAlignment="1">
      <alignment horizontal="left" vertical="top" wrapText="1"/>
    </xf>
    <xf numFmtId="0" fontId="3" fillId="0" borderId="35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3" fillId="0" borderId="37" xfId="0" applyFont="1" applyBorder="1" applyAlignment="1">
      <alignment horizontal="center" vertical="center"/>
    </xf>
    <xf numFmtId="0" fontId="3" fillId="0" borderId="39" xfId="0" applyFont="1" applyBorder="1" applyAlignment="1">
      <alignment horizontal="left" vertical="center"/>
    </xf>
    <xf numFmtId="0" fontId="3" fillId="0" borderId="40" xfId="0" applyFont="1" applyBorder="1" applyAlignment="1">
      <alignment horizontal="center" vertical="center"/>
    </xf>
    <xf numFmtId="164" fontId="3" fillId="0" borderId="40" xfId="0" applyNumberFormat="1" applyFont="1" applyBorder="1" applyAlignment="1">
      <alignment horizontal="center" vertical="center"/>
    </xf>
    <xf numFmtId="0" fontId="2" fillId="3" borderId="7" xfId="0" applyFont="1" applyFill="1" applyBorder="1" applyAlignment="1">
      <alignment horizontal="left" wrapText="1"/>
    </xf>
    <xf numFmtId="0" fontId="2" fillId="3" borderId="7" xfId="0" applyFont="1" applyFill="1" applyBorder="1" applyAlignment="1">
      <alignment horizontal="center" wrapText="1"/>
    </xf>
    <xf numFmtId="0" fontId="13" fillId="9" borderId="11" xfId="0" applyFont="1" applyFill="1" applyBorder="1" applyAlignment="1">
      <alignment horizontal="center" vertical="top"/>
    </xf>
    <xf numFmtId="0" fontId="13" fillId="7" borderId="11" xfId="0" applyFont="1" applyFill="1" applyBorder="1" applyAlignment="1">
      <alignment horizontal="left" vertical="top"/>
    </xf>
    <xf numFmtId="38" fontId="3" fillId="0" borderId="37" xfId="0" applyNumberFormat="1" applyFont="1" applyBorder="1" applyAlignment="1">
      <alignment horizontal="center" vertical="center"/>
    </xf>
    <xf numFmtId="38" fontId="3" fillId="0" borderId="38" xfId="0" applyNumberFormat="1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top"/>
    </xf>
    <xf numFmtId="0" fontId="5" fillId="0" borderId="2" xfId="0" applyFont="1" applyBorder="1"/>
    <xf numFmtId="0" fontId="18" fillId="0" borderId="24" xfId="0" applyFont="1" applyBorder="1" applyAlignment="1">
      <alignment horizontal="center" vertical="top" wrapText="1"/>
    </xf>
    <xf numFmtId="0" fontId="13" fillId="0" borderId="0" xfId="0" applyFont="1"/>
    <xf numFmtId="18" fontId="0" fillId="9" borderId="11" xfId="0" applyNumberFormat="1" applyFill="1" applyBorder="1" applyAlignment="1">
      <alignment horizontal="center" vertical="top"/>
    </xf>
    <xf numFmtId="18" fontId="13" fillId="9" borderId="11" xfId="0" applyNumberFormat="1" applyFont="1" applyFill="1" applyBorder="1" applyAlignment="1">
      <alignment horizontal="center" vertical="top"/>
    </xf>
    <xf numFmtId="0" fontId="1" fillId="9" borderId="11" xfId="0" applyFont="1" applyFill="1" applyBorder="1" applyAlignment="1">
      <alignment vertical="top"/>
    </xf>
    <xf numFmtId="0" fontId="13" fillId="9" borderId="24" xfId="0" applyFont="1" applyFill="1" applyBorder="1" applyAlignment="1">
      <alignment horizontal="center" vertical="top"/>
    </xf>
    <xf numFmtId="0" fontId="1" fillId="9" borderId="11" xfId="0" applyFont="1" applyFill="1" applyBorder="1" applyAlignment="1">
      <alignment horizontal="center" vertical="top"/>
    </xf>
    <xf numFmtId="0" fontId="1" fillId="9" borderId="25" xfId="0" applyFont="1" applyFill="1" applyBorder="1" applyAlignment="1">
      <alignment horizontal="center" vertical="top"/>
    </xf>
    <xf numFmtId="0" fontId="13" fillId="9" borderId="25" xfId="0" applyFont="1" applyFill="1" applyBorder="1" applyAlignment="1">
      <alignment horizontal="center" vertical="top"/>
    </xf>
    <xf numFmtId="0" fontId="14" fillId="9" borderId="24" xfId="0" applyFont="1" applyFill="1" applyBorder="1" applyAlignment="1">
      <alignment horizontal="center" vertical="top"/>
    </xf>
    <xf numFmtId="0" fontId="13" fillId="0" borderId="33" xfId="0" applyFont="1" applyBorder="1" applyAlignment="1">
      <alignment horizontal="center" vertical="top"/>
    </xf>
    <xf numFmtId="0" fontId="13" fillId="0" borderId="18" xfId="0" applyFont="1" applyBorder="1" applyAlignment="1">
      <alignment horizontal="center" vertical="top"/>
    </xf>
    <xf numFmtId="0" fontId="13" fillId="0" borderId="34" xfId="0" applyFont="1" applyBorder="1" applyAlignment="1">
      <alignment horizontal="center" vertical="top"/>
    </xf>
    <xf numFmtId="0" fontId="11" fillId="9" borderId="15" xfId="0" applyFont="1" applyFill="1" applyBorder="1" applyAlignment="1">
      <alignment horizontal="center" vertical="top"/>
    </xf>
    <xf numFmtId="165" fontId="13" fillId="9" borderId="16" xfId="0" applyNumberFormat="1" applyFont="1" applyFill="1" applyBorder="1" applyAlignment="1">
      <alignment horizontal="center" vertical="top"/>
    </xf>
    <xf numFmtId="0" fontId="11" fillId="9" borderId="16" xfId="0" applyFont="1" applyFill="1" applyBorder="1" applyAlignment="1">
      <alignment horizontal="center" vertical="top"/>
    </xf>
    <xf numFmtId="18" fontId="11" fillId="9" borderId="16" xfId="0" applyNumberFormat="1" applyFont="1" applyFill="1" applyBorder="1" applyAlignment="1">
      <alignment horizontal="center" vertical="top"/>
    </xf>
    <xf numFmtId="0" fontId="13" fillId="9" borderId="16" xfId="0" applyFont="1" applyFill="1" applyBorder="1" applyAlignment="1">
      <alignment vertical="top"/>
    </xf>
    <xf numFmtId="0" fontId="0" fillId="9" borderId="14" xfId="0" applyFill="1" applyBorder="1" applyAlignment="1">
      <alignment horizontal="center" vertical="top"/>
    </xf>
    <xf numFmtId="165" fontId="13" fillId="9" borderId="3" xfId="0" applyNumberFormat="1" applyFont="1" applyFill="1" applyBorder="1" applyAlignment="1">
      <alignment horizontal="center" vertical="top"/>
    </xf>
    <xf numFmtId="0" fontId="9" fillId="9" borderId="3" xfId="0" applyFont="1" applyFill="1" applyBorder="1" applyAlignment="1">
      <alignment horizontal="center" vertical="top"/>
    </xf>
    <xf numFmtId="18" fontId="11" fillId="9" borderId="3" xfId="0" applyNumberFormat="1" applyFont="1" applyFill="1" applyBorder="1" applyAlignment="1">
      <alignment horizontal="center" vertical="top"/>
    </xf>
    <xf numFmtId="0" fontId="11" fillId="9" borderId="3" xfId="0" applyFont="1" applyFill="1" applyBorder="1" applyAlignment="1">
      <alignment horizontal="center" vertical="top"/>
    </xf>
    <xf numFmtId="0" fontId="13" fillId="9" borderId="3" xfId="0" applyFont="1" applyFill="1" applyBorder="1" applyAlignment="1">
      <alignment vertical="top"/>
    </xf>
    <xf numFmtId="0" fontId="0" fillId="9" borderId="18" xfId="0" applyFill="1" applyBorder="1" applyAlignment="1">
      <alignment horizontal="center" vertical="top"/>
    </xf>
    <xf numFmtId="165" fontId="13" fillId="9" borderId="18" xfId="0" applyNumberFormat="1" applyFont="1" applyFill="1" applyBorder="1" applyAlignment="1">
      <alignment horizontal="center" vertical="top"/>
    </xf>
    <xf numFmtId="0" fontId="9" fillId="9" borderId="18" xfId="0" applyFont="1" applyFill="1" applyBorder="1" applyAlignment="1">
      <alignment horizontal="center" vertical="top"/>
    </xf>
    <xf numFmtId="18" fontId="11" fillId="9" borderId="18" xfId="0" applyNumberFormat="1" applyFont="1" applyFill="1" applyBorder="1" applyAlignment="1">
      <alignment horizontal="center" vertical="top"/>
    </xf>
    <xf numFmtId="0" fontId="11" fillId="9" borderId="18" xfId="0" applyFont="1" applyFill="1" applyBorder="1" applyAlignment="1">
      <alignment horizontal="center" vertical="top"/>
    </xf>
    <xf numFmtId="0" fontId="13" fillId="9" borderId="18" xfId="0" applyFont="1" applyFill="1" applyBorder="1" applyAlignment="1">
      <alignment vertical="top"/>
    </xf>
    <xf numFmtId="0" fontId="13" fillId="9" borderId="18" xfId="0" applyFont="1" applyFill="1" applyBorder="1" applyAlignment="1">
      <alignment horizontal="center" vertical="top" wrapText="1"/>
    </xf>
    <xf numFmtId="0" fontId="13" fillId="9" borderId="30" xfId="0" applyFont="1" applyFill="1" applyBorder="1" applyAlignment="1">
      <alignment vertical="top"/>
    </xf>
    <xf numFmtId="0" fontId="3" fillId="0" borderId="38" xfId="0" applyFont="1" applyBorder="1" applyAlignment="1">
      <alignment horizontal="center" vertical="center"/>
    </xf>
    <xf numFmtId="38" fontId="3" fillId="0" borderId="40" xfId="0" applyNumberFormat="1" applyFont="1" applyBorder="1" applyAlignment="1">
      <alignment horizontal="center" vertical="center"/>
    </xf>
    <xf numFmtId="0" fontId="14" fillId="9" borderId="11" xfId="0" applyFont="1" applyFill="1" applyBorder="1" applyAlignment="1">
      <alignment horizontal="center" vertical="top"/>
    </xf>
    <xf numFmtId="0" fontId="11" fillId="10" borderId="11" xfId="0" applyFont="1" applyFill="1" applyBorder="1" applyAlignment="1">
      <alignment horizontal="center" vertical="top"/>
    </xf>
    <xf numFmtId="165" fontId="13" fillId="10" borderId="11" xfId="0" applyNumberFormat="1" applyFont="1" applyFill="1" applyBorder="1" applyAlignment="1">
      <alignment horizontal="center" vertical="top"/>
    </xf>
    <xf numFmtId="17" fontId="11" fillId="10" borderId="11" xfId="0" applyNumberFormat="1" applyFont="1" applyFill="1" applyBorder="1" applyAlignment="1">
      <alignment horizontal="center" vertical="top"/>
    </xf>
    <xf numFmtId="18" fontId="11" fillId="10" borderId="11" xfId="0" applyNumberFormat="1" applyFont="1" applyFill="1" applyBorder="1" applyAlignment="1">
      <alignment horizontal="center" vertical="top"/>
    </xf>
    <xf numFmtId="0" fontId="13" fillId="10" borderId="11" xfId="0" applyFont="1" applyFill="1" applyBorder="1" applyAlignment="1">
      <alignment vertical="top"/>
    </xf>
    <xf numFmtId="0" fontId="13" fillId="10" borderId="24" xfId="0" applyFont="1" applyFill="1" applyBorder="1" applyAlignment="1">
      <alignment horizontal="center" vertical="top"/>
    </xf>
    <xf numFmtId="0" fontId="13" fillId="10" borderId="11" xfId="0" applyFont="1" applyFill="1" applyBorder="1" applyAlignment="1">
      <alignment horizontal="center" vertical="top"/>
    </xf>
    <xf numFmtId="0" fontId="1" fillId="10" borderId="11" xfId="0" applyFont="1" applyFill="1" applyBorder="1" applyAlignment="1">
      <alignment horizontal="center" vertical="top"/>
    </xf>
    <xf numFmtId="0" fontId="1" fillId="10" borderId="25" xfId="0" applyFont="1" applyFill="1" applyBorder="1" applyAlignment="1">
      <alignment horizontal="center" vertical="top"/>
    </xf>
    <xf numFmtId="18" fontId="13" fillId="9" borderId="18" xfId="0" applyNumberFormat="1" applyFont="1" applyFill="1" applyBorder="1" applyAlignment="1">
      <alignment horizontal="center" vertical="top"/>
    </xf>
    <xf numFmtId="0" fontId="13" fillId="9" borderId="18" xfId="0" applyFont="1" applyFill="1" applyBorder="1" applyAlignment="1">
      <alignment horizontal="center" vertical="top"/>
    </xf>
    <xf numFmtId="0" fontId="13" fillId="10" borderId="11" xfId="0" applyFont="1" applyFill="1" applyBorder="1" applyAlignment="1">
      <alignment horizontal="left" vertical="top"/>
    </xf>
    <xf numFmtId="0" fontId="13" fillId="10" borderId="18" xfId="0" applyFont="1" applyFill="1" applyBorder="1" applyAlignment="1">
      <alignment vertical="top"/>
    </xf>
    <xf numFmtId="0" fontId="13" fillId="10" borderId="18" xfId="0" applyFont="1" applyFill="1" applyBorder="1" applyAlignment="1">
      <alignment horizontal="left" vertical="top"/>
    </xf>
    <xf numFmtId="0" fontId="6" fillId="5" borderId="2" xfId="0" applyFont="1" applyFill="1" applyBorder="1" applyAlignment="1">
      <alignment wrapText="1"/>
    </xf>
    <xf numFmtId="0" fontId="13" fillId="10" borderId="19" xfId="0" applyFont="1" applyFill="1" applyBorder="1" applyAlignment="1">
      <alignment vertical="top"/>
    </xf>
    <xf numFmtId="0" fontId="11" fillId="9" borderId="21" xfId="0" applyFont="1" applyFill="1" applyBorder="1" applyAlignment="1">
      <alignment horizontal="center" vertical="top"/>
    </xf>
    <xf numFmtId="165" fontId="13" fillId="9" borderId="19" xfId="0" applyNumberFormat="1" applyFont="1" applyFill="1" applyBorder="1" applyAlignment="1">
      <alignment horizontal="center" vertical="top"/>
    </xf>
    <xf numFmtId="0" fontId="11" fillId="9" borderId="19" xfId="0" applyFont="1" applyFill="1" applyBorder="1" applyAlignment="1">
      <alignment horizontal="center" vertical="top"/>
    </xf>
    <xf numFmtId="18" fontId="13" fillId="9" borderId="19" xfId="0" applyNumberFormat="1" applyFont="1" applyFill="1" applyBorder="1" applyAlignment="1">
      <alignment horizontal="center" vertical="top"/>
    </xf>
    <xf numFmtId="0" fontId="0" fillId="9" borderId="19" xfId="0" applyFill="1" applyBorder="1" applyAlignment="1">
      <alignment horizontal="center" vertical="top"/>
    </xf>
    <xf numFmtId="0" fontId="13" fillId="9" borderId="19" xfId="0" applyFont="1" applyFill="1" applyBorder="1" applyAlignment="1">
      <alignment vertical="top"/>
    </xf>
    <xf numFmtId="0" fontId="9" fillId="10" borderId="11" xfId="0" applyFont="1" applyFill="1" applyBorder="1" applyAlignment="1">
      <alignment horizontal="center" vertical="top"/>
    </xf>
    <xf numFmtId="18" fontId="11" fillId="11" borderId="11" xfId="0" applyNumberFormat="1" applyFont="1" applyFill="1" applyBorder="1" applyAlignment="1">
      <alignment horizontal="center" vertical="top"/>
    </xf>
    <xf numFmtId="0" fontId="11" fillId="11" borderId="11" xfId="0" applyFont="1" applyFill="1" applyBorder="1" applyAlignment="1">
      <alignment horizontal="center" vertical="top"/>
    </xf>
    <xf numFmtId="165" fontId="13" fillId="11" borderId="11" xfId="0" applyNumberFormat="1" applyFont="1" applyFill="1" applyBorder="1" applyAlignment="1">
      <alignment horizontal="center" vertical="top"/>
    </xf>
    <xf numFmtId="0" fontId="13" fillId="11" borderId="11" xfId="0" applyFont="1" applyFill="1" applyBorder="1" applyAlignment="1">
      <alignment vertical="top"/>
    </xf>
    <xf numFmtId="0" fontId="19" fillId="10" borderId="11" xfId="0" applyFont="1" applyFill="1" applyBorder="1" applyAlignment="1">
      <alignment horizontal="center" vertical="top"/>
    </xf>
    <xf numFmtId="17" fontId="11" fillId="9" borderId="11" xfId="0" applyNumberFormat="1" applyFont="1" applyFill="1" applyBorder="1" applyAlignment="1">
      <alignment horizontal="center" vertical="top"/>
    </xf>
    <xf numFmtId="0" fontId="16" fillId="6" borderId="5" xfId="0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/>
    </xf>
    <xf numFmtId="0" fontId="10" fillId="8" borderId="5" xfId="0" applyFont="1" applyFill="1" applyBorder="1" applyAlignment="1">
      <alignment horizontal="center" wrapText="1"/>
    </xf>
    <xf numFmtId="0" fontId="10" fillId="8" borderId="2" xfId="0" applyFont="1" applyFill="1" applyBorder="1" applyAlignment="1">
      <alignment horizontal="center" wrapText="1"/>
    </xf>
    <xf numFmtId="0" fontId="10" fillId="8" borderId="6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 wrapText="1"/>
    </xf>
    <xf numFmtId="0" fontId="6" fillId="5" borderId="2" xfId="0" applyFont="1" applyFill="1" applyBorder="1" applyAlignment="1">
      <alignment horizontal="center" wrapText="1"/>
    </xf>
    <xf numFmtId="0" fontId="13" fillId="9" borderId="11" xfId="0" applyFont="1" applyFill="1" applyBorder="1" applyAlignment="1">
      <alignment horizontal="left" vertical="top"/>
    </xf>
    <xf numFmtId="0" fontId="9" fillId="9" borderId="19" xfId="0" applyFont="1" applyFill="1" applyBorder="1" applyAlignment="1">
      <alignment horizontal="center" vertical="top"/>
    </xf>
    <xf numFmtId="0" fontId="1" fillId="0" borderId="24" xfId="0" applyFont="1" applyBorder="1" applyAlignment="1">
      <alignment horizontal="center" vertical="top" wrapText="1"/>
    </xf>
  </cellXfs>
  <cellStyles count="3">
    <cellStyle name="Comma" xfId="1" builtinId="3"/>
    <cellStyle name="Normal" xfId="0" builtinId="0"/>
    <cellStyle name="Normal 2" xfId="2" xr:uid="{7BCABEC6-DC57-48A0-A24E-27844AF1C9D7}"/>
  </cellStyles>
  <dxfs count="49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</border>
    </dxf>
    <dxf>
      <font>
        <color theme="1"/>
        <family val="2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/>
        <bottom/>
        <vertical/>
        <horizontal/>
      </border>
    </dxf>
    <dxf>
      <font>
        <color theme="1"/>
        <family val="2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none">
          <fgColor indexed="64"/>
          <bgColor auto="1"/>
        </patternFill>
      </fill>
      <border outline="0">
        <left style="medium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165" formatCode="mm/dd/yy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D8D8D8"/>
          <bgColor rgb="FFD8D8D8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165" formatCode="mm/dd/yy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D8D8D8"/>
          <bgColor rgb="FFD8D8D8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center" vertical="top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indexed="64"/>
          <bgColor auto="1"/>
        </patternFill>
      </fill>
      <border outline="0">
        <left style="medium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23" formatCode="h:mm\ AM/PM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165" formatCode="mm/dd/yy;@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165" formatCode="mm/dd/yy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D8D8D8"/>
          <bgColor rgb="FFD8D8D8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center" vertical="top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border outline="0">
        <left style="medium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23" formatCode="h:mm\ AM/PM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165" formatCode="mm/dd/yy;@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165" formatCode="mm/dd/yy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D8D8D8"/>
          <bgColor rgb="FFD8D8D8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theme="1"/>
        <family val="2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color theme="1"/>
        <family val="2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medium">
          <color indexed="64"/>
        </bottom>
        <vertical/>
        <horizontal/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outline="0">
        <right style="medium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165" formatCode="mm/dd/yy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border outline="0">
        <top style="thin">
          <color theme="4" tint="0.39997558519241921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D8D8D8"/>
          <bgColor rgb="FFD8D8D8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theme="1"/>
        <family val="2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/>
        <bottom/>
        <vertical/>
        <horizontal/>
      </border>
    </dxf>
    <dxf>
      <font>
        <color theme="1"/>
        <family val="2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outline="0">
        <right style="medium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165" formatCode="mm/dd/yy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border outline="0">
        <top style="thin">
          <color theme="4" tint="0.39997558519241921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D8D8D8"/>
          <bgColor rgb="FFD8D8D8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center" vertical="top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23" formatCode="h:mm\ AM/PM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3" formatCode="h:mm\ AM/PM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165" formatCode="mm/dd/yy;@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165" formatCode="mm/dd/yy;@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top style="thin">
          <color theme="4" tint="0.39997558519241921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D8D8D8"/>
          <bgColor rgb="FFD8D8D8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theme="1"/>
        <family val="2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/>
        <bottom/>
        <vertical/>
        <horizontal/>
      </border>
    </dxf>
    <dxf>
      <font>
        <color theme="1"/>
        <family val="2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indexed="64"/>
          <bgColor auto="1"/>
        </patternFill>
      </fill>
      <border outline="0">
        <left style="medium">
          <color indexed="64"/>
        </left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165" formatCode="mm/dd/yy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D8D8D8"/>
          <bgColor rgb="FFD8D8D8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border>
        <left style="medium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165" formatCode="mm/dd/yy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D8D8D8"/>
          <bgColor rgb="FFD8D8D8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165" formatCode="mm/dd/yy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D8D8D8"/>
          <bgColor rgb="FFD8D8D8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outline="0">
        <left style="thin">
          <color indexed="6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center" vertical="top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outline="0">
        <left style="medium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23" formatCode="h:mm\ AM/PM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6" formatCode="[$-409]h:mm\ AM/PM;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165" formatCode="mm/dd/yy;@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5" formatCode="mm/dd/yy;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8" formatCode="0_);[Red]\(0\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D8D8D8"/>
          <bgColor rgb="FFD8D8D8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165" formatCode="mm/dd/yy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D8D8D8"/>
          <bgColor rgb="FFD8D8D8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165" formatCode="mm/dd/yy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theme="4" tint="0.39997558519241921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D8D8D8"/>
          <bgColor rgb="FFD8D8D8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border outline="0">
        <left style="medium">
          <color indexed="64"/>
        </left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165" formatCode="mm/dd/yy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D8D8D8"/>
          <bgColor rgb="FFD8D8D8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border outline="0">
        <left style="medium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165" formatCode="mm/dd/yy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D8D8D8"/>
          <bgColor rgb="FFD8D8D8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/>
      </border>
    </dxf>
    <dxf>
      <numFmt numFmtId="0" formatCode="General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  <fill>
        <patternFill patternType="none">
          <fgColor indexed="64"/>
          <bgColor auto="1"/>
        </patternFill>
      </fill>
      <border>
        <left style="thin">
          <color indexed="6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border outline="0">
        <left style="thin">
          <color indexed="6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center" vertical="top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medium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23" formatCode="h:mm\ AM/PM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3" formatCode="h:mm\ AM/P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165" formatCode="mm/dd/yy;@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165" formatCode="mm/dd/yy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indexed="64"/>
        </right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top style="thin">
          <color indexed="64"/>
        </top>
        <bottom style="medium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D8D8D8"/>
          <bgColor rgb="FFD8D8D8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  <border>
        <left style="medium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>
        <right style="medium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165" formatCode="mm/dd/yy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D8D8D8"/>
          <bgColor rgb="FFD8D8D8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center" vertical="top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23" formatCode="h:mm\ AM/PM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165" formatCode="mm/dd/yy;@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165" formatCode="mm/dd/yy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minor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D8D8D8"/>
          <bgColor rgb="FFD8D8D8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alignment horizontal="center" vertical="top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top" textRotation="0" indent="0" justifyLastLine="0" shrinkToFit="0" readingOrder="0"/>
      <border diagonalUp="0" diagonalDown="0" outline="0">
        <left style="thin">
          <color indexed="6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alignment horizontal="center" vertical="top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top" textRotation="0" indent="0" justifyLastLine="0" shrinkToFit="0" readingOrder="0"/>
      <border diagonalUp="0" diagonalDown="0" outline="0"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alignment horizontal="center" vertical="top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alignment horizontal="center" vertical="top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23" formatCode="h:mm\ AM/PM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3" formatCode="h:mm\ AM/P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165" formatCode="mm/dd/yy;@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165" formatCode="mm/dd/yy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D8D8D8"/>
          <bgColor rgb="FFD8D8D8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000000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000000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0"/>
        <color rgb="FF000000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0"/>
        <color rgb="FF000000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0"/>
        <color rgb="FF000000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0"/>
        <color rgb="FF000000"/>
        <name val="Arial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0"/>
        <color rgb="FF000000"/>
        <name val="Arial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0"/>
        <color rgb="FF000000"/>
        <name val="Arial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0"/>
        <color rgb="FF000000"/>
        <name val="Arial"/>
        <family val="2"/>
        <scheme val="minor"/>
      </font>
      <numFmt numFmtId="165" formatCode="mm/dd/yy;@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0"/>
        <color rgb="FF000000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6" formatCode="#,##0_);[Red]\(#,##0\)"/>
      <alignment horizontal="center" vertical="center" textRotation="0" wrapText="0" indent="0" justifyLastLine="0" shrinkToFit="0" readingOrder="0"/>
      <border diagonalUp="0" diagonalDown="0">
        <left style="thin">
          <color rgb="FF999999"/>
        </left>
        <right/>
        <top style="thin">
          <color rgb="FF999999"/>
        </top>
        <bottom style="thin">
          <color rgb="FF99999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rgb="FF999999"/>
        </left>
        <right/>
        <top style="thin">
          <color rgb="FF999999"/>
        </top>
        <bottom style="thin">
          <color rgb="FF99999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rgb="FF999999"/>
        </left>
        <right style="thin">
          <color rgb="FF999999"/>
        </right>
        <top style="thin">
          <color rgb="FF999999"/>
        </top>
        <bottom style="thin">
          <color rgb="FF99999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64" formatCode="0.000"/>
      <alignment horizontal="center" vertical="center" textRotation="0" wrapText="0" indent="0" justifyLastLine="0" shrinkToFit="0" readingOrder="0"/>
      <border diagonalUp="0" diagonalDown="0">
        <left style="thin">
          <color rgb="FF999999"/>
        </left>
        <right style="thin">
          <color rgb="FF999999"/>
        </right>
        <top style="thin">
          <color rgb="FF999999"/>
        </top>
        <bottom style="thin">
          <color rgb="FF99999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rgb="FF999999"/>
        </left>
        <right style="thin">
          <color rgb="FF999999"/>
        </right>
        <top style="thin">
          <color rgb="FF999999"/>
        </top>
        <bottom style="thin">
          <color rgb="FF99999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rgb="FF999999"/>
        </left>
        <right style="thin">
          <color rgb="FF999999"/>
        </right>
        <top style="thin">
          <color rgb="FF999999"/>
        </top>
        <bottom style="thin">
          <color rgb="FF99999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rgb="FF999999"/>
        </left>
        <right style="thin">
          <color rgb="FF999999"/>
        </right>
        <top style="thin">
          <color rgb="FF999999"/>
        </top>
        <bottom style="thin">
          <color rgb="FF99999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left" vertical="center" textRotation="0" wrapText="0" indent="0" justifyLastLine="0" shrinkToFit="0" readingOrder="0"/>
      <border diagonalUp="0" diagonalDown="0">
        <left/>
        <right style="thin">
          <color rgb="FF999999"/>
        </right>
        <top style="thin">
          <color rgb="FF999999"/>
        </top>
        <bottom style="thin">
          <color rgb="FF999999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Calibri"/>
        <family val="2"/>
        <scheme val="none"/>
      </font>
      <fill>
        <patternFill patternType="solid">
          <fgColor rgb="FFD9D9D9"/>
          <bgColor rgb="FFD9D9D9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6" formatCode="#,##0_);[Red]\(#,##0\)"/>
      <alignment horizontal="center" vertical="center" textRotation="0" wrapText="0" indent="0" justifyLastLine="0" shrinkToFit="0" readingOrder="0"/>
      <border diagonalUp="0" diagonalDown="0">
        <left style="thin">
          <color rgb="FF999999"/>
        </left>
        <right/>
        <top style="thin">
          <color rgb="FF999999"/>
        </top>
        <bottom style="thin">
          <color rgb="FF99999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rgb="FF999999"/>
        </left>
        <right/>
        <top style="thin">
          <color rgb="FF999999"/>
        </top>
        <bottom style="thin">
          <color rgb="FF99999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rgb="FF999999"/>
        </left>
        <right style="thin">
          <color rgb="FF999999"/>
        </right>
        <top style="thin">
          <color rgb="FF999999"/>
        </top>
        <bottom style="thin">
          <color rgb="FF99999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64" formatCode="0.000"/>
      <alignment horizontal="center" vertical="center" textRotation="0" wrapText="0" indent="0" justifyLastLine="0" shrinkToFit="0" readingOrder="0"/>
      <border diagonalUp="0" diagonalDown="0">
        <left style="thin">
          <color rgb="FF999999"/>
        </left>
        <right style="thin">
          <color rgb="FF999999"/>
        </right>
        <top style="thin">
          <color rgb="FF999999"/>
        </top>
        <bottom style="thin">
          <color rgb="FF99999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rgb="FF999999"/>
        </left>
        <right style="thin">
          <color rgb="FF999999"/>
        </right>
        <top style="thin">
          <color rgb="FF999999"/>
        </top>
        <bottom style="thin">
          <color rgb="FF99999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rgb="FF999999"/>
        </left>
        <right style="thin">
          <color rgb="FF999999"/>
        </right>
        <top style="thin">
          <color rgb="FF999999"/>
        </top>
        <bottom style="thin">
          <color rgb="FF99999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rgb="FF999999"/>
        </left>
        <right style="thin">
          <color rgb="FF999999"/>
        </right>
        <top style="thin">
          <color rgb="FF999999"/>
        </top>
        <bottom style="thin">
          <color rgb="FF99999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left" vertical="center" textRotation="0" wrapText="0" indent="0" justifyLastLine="0" shrinkToFit="0" readingOrder="0"/>
      <border diagonalUp="0" diagonalDown="0">
        <left/>
        <right style="thin">
          <color rgb="FF999999"/>
        </right>
        <top style="thin">
          <color rgb="FF999999"/>
        </top>
        <bottom style="thin">
          <color rgb="FF999999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rgb="FF99999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Calibri"/>
        <family val="2"/>
        <scheme val="none"/>
      </font>
      <fill>
        <patternFill patternType="solid">
          <fgColor rgb="FFD9D9D9"/>
          <bgColor rgb="FFD9D9D9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CCFF99"/>
      <color rgb="FFFFFFCC"/>
      <color rgb="FF33CC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FED766BD-BE44-4A89-BF0F-236B5ACE114C}" name="Table7" displayName="Table7" ref="A3:H8" totalsRowShown="0" headerRowDxfId="492" dataDxfId="490" headerRowBorderDxfId="491" tableBorderDxfId="489">
  <autoFilter ref="A3:H8" xr:uid="{FED766BD-BE44-4A89-BF0F-236B5ACE114C}"/>
  <sortState xmlns:xlrd2="http://schemas.microsoft.com/office/spreadsheetml/2017/richdata2" ref="A4:H8">
    <sortCondition descending="1" ref="C4:C8"/>
    <sortCondition descending="1" ref="E4:E8"/>
    <sortCondition descending="1" ref="H4:H8"/>
  </sortState>
  <tableColumns count="8">
    <tableColumn id="1" xr3:uid="{61737649-9CD4-408C-8D03-00725A26C9CE}" name="Team" dataDxfId="488"/>
    <tableColumn id="2" xr3:uid="{C1F82FE6-98AE-4653-8023-4B37D1EEF4CB}" name="GP" dataDxfId="487">
      <calculatedColumnFormula>+Table7[[#This Row],[W]]+Table7[[#This Row],[L]]</calculatedColumnFormula>
    </tableColumn>
    <tableColumn id="3" xr3:uid="{A7E34B71-246E-461C-A91C-52BF0B9A777F}" name="W" dataDxfId="486"/>
    <tableColumn id="4" xr3:uid="{882697DF-83EC-4B98-8516-77A7DA2A9C44}" name="L" dataDxfId="485"/>
    <tableColumn id="5" xr3:uid="{1474AADE-438B-46B5-80AF-83364F25C9E7}" name="PCT" dataDxfId="484">
      <calculatedColumnFormula>C4/(C4+D4)</calculatedColumnFormula>
    </tableColumn>
    <tableColumn id="6" xr3:uid="{7DEB3142-E13F-4F47-A77A-C44B1DCE8047}" name="GF" dataDxfId="483"/>
    <tableColumn id="9" xr3:uid="{90D9BC1B-9AF7-423D-A1F7-5C99A5D58604}" name="GA" dataDxfId="482">
      <calculatedColumnFormula>+Table11[[#Totals],[GA]]</calculatedColumnFormula>
    </tableColumn>
    <tableColumn id="7" xr3:uid="{ABC69467-3D44-4B9F-B16D-92011EC475CA}" name="DIFF" dataDxfId="481">
      <calculatedColumnFormula>+Table7[[#This Row],[GF]]-Table7[[#This Row],[GA]]</calculatedColumnFormula>
    </tableColumn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C1EB3FCB-A859-4509-9E7F-CB9E2613946F}" name="Table19" displayName="Table19" ref="A2:N9" totalsRowShown="0" headerRowDxfId="300" dataDxfId="298" headerRowBorderDxfId="299" tableBorderDxfId="297" totalsRowBorderDxfId="296">
  <autoFilter ref="A2:N9" xr:uid="{C1EB3FCB-A859-4509-9E7F-CB9E2613946F}"/>
  <sortState xmlns:xlrd2="http://schemas.microsoft.com/office/spreadsheetml/2017/richdata2" ref="A3:K8">
    <sortCondition ref="B2:B8"/>
  </sortState>
  <tableColumns count="14">
    <tableColumn id="1" xr3:uid="{CDC09D40-8AB4-431E-9048-A62BDFC8BA8E}" name="Week" dataDxfId="295"/>
    <tableColumn id="2" xr3:uid="{91478B83-EB07-4636-A559-DB88BA451F27}" name="Date" dataDxfId="294"/>
    <tableColumn id="3" xr3:uid="{0E2B3370-F689-4A6D-ABBF-12D525D3AE8F}" name="Day" dataDxfId="293"/>
    <tableColumn id="4" xr3:uid="{4CCC3130-8901-4F9A-A7FA-A1CC8280CE30}" name="Start" dataDxfId="292"/>
    <tableColumn id="5" xr3:uid="{07E37861-A787-4223-8373-DB747F4AD8F9}" name="Level " dataDxfId="291"/>
    <tableColumn id="6" xr3:uid="{1ED43E36-DB81-436D-AF4F-5603DFE7AD17}" name="Home " dataDxfId="290"/>
    <tableColumn id="7" xr3:uid="{736F203C-707B-40FA-B98E-8D084D11A551}" name="Away " dataDxfId="289"/>
    <tableColumn id="8" xr3:uid="{4929E01C-02D7-4E36-94C1-9980BA993A2A}" name="Home Total " dataDxfId="288"/>
    <tableColumn id="9" xr3:uid="{79B37C55-3A7E-45C1-AF87-AAC9819B4036}" name="Away Total" dataDxfId="287"/>
    <tableColumn id="10" xr3:uid="{951DB709-FB23-46DF-9A8E-BE6D6D0CA806}" name="Facility" dataDxfId="286"/>
    <tableColumn id="11" xr3:uid="{F07FE6C1-69AA-4AC3-A952-42CD7CE745FB}" name="Win" dataDxfId="285"/>
    <tableColumn id="12" xr3:uid="{C900E697-8AA5-443D-B547-3104B65DD038}" name="Loss" dataDxfId="284"/>
    <tableColumn id="13" xr3:uid="{F30B37F1-3385-4A04-919C-81195B4AE86A}" name="GF" dataDxfId="283"/>
    <tableColumn id="14" xr3:uid="{75DC826A-8B17-42C4-9534-87FA0BCA4AA4}" name="GA" dataDxfId="282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FE62A639-C054-4300-A073-C839B1D12A70}" name="Table20" displayName="Table20" ref="A13:N24" totalsRowShown="0" headerRowDxfId="281" dataDxfId="279" headerRowBorderDxfId="280" tableBorderDxfId="278" totalsRowBorderDxfId="277">
  <autoFilter ref="A13:N24" xr:uid="{FE62A639-C054-4300-A073-C839B1D12A70}"/>
  <sortState xmlns:xlrd2="http://schemas.microsoft.com/office/spreadsheetml/2017/richdata2" ref="A14:K23">
    <sortCondition ref="B13:B23"/>
  </sortState>
  <tableColumns count="14">
    <tableColumn id="1" xr3:uid="{5E03CEB9-CCE7-43B9-B284-7B2D332538D4}" name="Week" dataDxfId="276"/>
    <tableColumn id="2" xr3:uid="{D7F2955E-66C2-4857-9C40-DFF3E2A98169}" name="Date" dataDxfId="275"/>
    <tableColumn id="3" xr3:uid="{F4B67309-28CB-44FE-A150-E90E4DE733F2}" name="Day" dataDxfId="274"/>
    <tableColumn id="4" xr3:uid="{8BB4392E-2F52-4935-92EC-791357496307}" name="Start" dataDxfId="273"/>
    <tableColumn id="5" xr3:uid="{9D510F4F-C6B5-4557-9169-540FF32744B8}" name="Level " dataDxfId="272"/>
    <tableColumn id="6" xr3:uid="{2CCB76FE-BE92-49AE-AD79-B098A08A427B}" name="Home " dataDxfId="271"/>
    <tableColumn id="7" xr3:uid="{182706D9-E39D-44A1-A12D-EDEFCDC8D045}" name="Away " dataDxfId="270"/>
    <tableColumn id="8" xr3:uid="{60F0B0E7-4EA2-4B2A-80CA-F247D324EC0E}" name="Home Total " dataDxfId="269"/>
    <tableColumn id="9" xr3:uid="{860C36AF-5DF6-462D-86D6-5BDC9E9EBA58}" name="Away Total" dataDxfId="268"/>
    <tableColumn id="10" xr3:uid="{7A76726C-74DD-495A-B0EF-BE86333BFD9C}" name="Facility" dataDxfId="267"/>
    <tableColumn id="11" xr3:uid="{897AA796-2B54-436B-AF04-F6B0C97E76AE}" name="Win " dataDxfId="266">
      <calculatedColumnFormula>+SUM(K4:K13)</calculatedColumnFormula>
    </tableColumn>
    <tableColumn id="12" xr3:uid="{FC7379FB-0F80-4B17-8772-621891A71F6D}" name="Loss" dataDxfId="265"/>
    <tableColumn id="13" xr3:uid="{3A499CC7-C031-4638-A19B-2A6584E64C98}" name="GF" dataDxfId="264"/>
    <tableColumn id="14" xr3:uid="{2979170A-57F1-42E2-B38E-8A4D6C1CB4C7}" name="GA" dataDxfId="263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A6543EB2-67EC-45CF-AB72-8169FE5AEF80}" name="Table21" displayName="Table21" ref="A2:N13" totalsRowCount="1" headerRowDxfId="262" dataDxfId="260" headerRowBorderDxfId="261" tableBorderDxfId="259">
  <autoFilter ref="A2:N12" xr:uid="{A6543EB2-67EC-45CF-AB72-8169FE5AEF80}"/>
  <sortState xmlns:xlrd2="http://schemas.microsoft.com/office/spreadsheetml/2017/richdata2" ref="A3:K12">
    <sortCondition ref="B2:B12"/>
  </sortState>
  <tableColumns count="14">
    <tableColumn id="1" xr3:uid="{B47159F3-94AC-414D-873E-6748B81D593F}" name="Week" dataDxfId="258" totalsRowDxfId="257" dataCellStyle="Comma"/>
    <tableColumn id="2" xr3:uid="{EA2CAE73-CD67-4340-9A57-662694383F06}" name="Date" dataDxfId="256" totalsRowDxfId="255"/>
    <tableColumn id="3" xr3:uid="{4610F100-42A6-441A-9FF0-64C320AA204B}" name="Day" dataDxfId="254" totalsRowDxfId="253"/>
    <tableColumn id="4" xr3:uid="{DC2EE54C-D281-40F1-B46A-EE71D3627A9C}" name="Start" dataDxfId="252" totalsRowDxfId="251"/>
    <tableColumn id="5" xr3:uid="{DE283E5F-E7E4-46F2-8139-18681111A241}" name="Level " dataDxfId="250" totalsRowDxfId="249"/>
    <tableColumn id="6" xr3:uid="{FAC8C02E-22C1-417E-8248-C38C082A9213}" name="Home " dataDxfId="248" totalsRowDxfId="247"/>
    <tableColumn id="7" xr3:uid="{3E4849F2-2A4C-42BB-A22E-B4308BDA0934}" name="Away " dataDxfId="246" totalsRowDxfId="245"/>
    <tableColumn id="8" xr3:uid="{12576C16-80F4-43DD-A2C8-DFD7E765A1DF}" name="Home Total " dataDxfId="244" totalsRowDxfId="243">
      <calculatedColumnFormula>+Table57[[#This Row],[Home Total]]</calculatedColumnFormula>
    </tableColumn>
    <tableColumn id="9" xr3:uid="{013CF22D-123F-463F-9024-DCAC40EE78DB}" name="Away Total" dataDxfId="242" totalsRowDxfId="241">
      <calculatedColumnFormula>+Table57[[#This Row],[Away Total]]</calculatedColumnFormula>
    </tableColumn>
    <tableColumn id="10" xr3:uid="{2F6BAEBA-9F63-455C-A34B-A74003927410}" name="Facility" dataDxfId="240" totalsRowDxfId="239"/>
    <tableColumn id="11" xr3:uid="{53664444-42D9-4FB2-A11B-E62C2929AD60}" name="Win" totalsRowFunction="custom" dataDxfId="238" totalsRowDxfId="237">
      <totalsRowFormula>+SUM(Table21[Win])</totalsRowFormula>
    </tableColumn>
    <tableColumn id="12" xr3:uid="{B8B88713-EC25-44F7-AB1A-75F876527494}" name="Loss" totalsRowFunction="custom" dataDxfId="236" totalsRowDxfId="235">
      <totalsRowFormula>+SUM(Table21[Loss])</totalsRowFormula>
    </tableColumn>
    <tableColumn id="13" xr3:uid="{0B0E22D1-A379-4E4E-81C9-71228A2430D3}" name="GF" totalsRowFunction="custom" dataDxfId="234" totalsRowDxfId="233">
      <calculatedColumnFormula>+Table21[[#This Row],[Home Total ]]</calculatedColumnFormula>
      <totalsRowFormula>+SUM(Table21[GF])</totalsRowFormula>
    </tableColumn>
    <tableColumn id="14" xr3:uid="{D2C036D5-5EA2-495D-9ED3-DF786669B6EB}" name="GA" totalsRowFunction="sum" dataDxfId="232" totalsRowDxfId="231">
      <calculatedColumnFormula>+Table21[[#This Row],[Away Total]]</calculatedColumnFormula>
    </tableColumn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BC2110D7-1C9B-42F6-8E69-97E9EEF92629}" name="Table22" displayName="Table22" ref="A2:N9" totalsRowShown="0" headerRowDxfId="230" dataDxfId="228" headerRowBorderDxfId="229" tableBorderDxfId="227" totalsRowBorderDxfId="226">
  <autoFilter ref="A2:N9" xr:uid="{BC2110D7-1C9B-42F6-8E69-97E9EEF92629}"/>
  <sortState xmlns:xlrd2="http://schemas.microsoft.com/office/spreadsheetml/2017/richdata2" ref="A3:N9">
    <sortCondition ref="B2:B9"/>
  </sortState>
  <tableColumns count="14">
    <tableColumn id="1" xr3:uid="{83BC1DD0-C7C4-425F-A174-71FF6229CE83}" name="Week" dataDxfId="225"/>
    <tableColumn id="2" xr3:uid="{74EA39C5-180B-457C-B7B7-AC5727CBFCEA}" name="Date" dataDxfId="224"/>
    <tableColumn id="3" xr3:uid="{962D79EF-ACE2-42EF-8858-7F47F0458A1B}" name="Day" dataDxfId="223"/>
    <tableColumn id="4" xr3:uid="{B4979021-3242-40D2-8F0D-5F954894A698}" name="Start" dataDxfId="222"/>
    <tableColumn id="5" xr3:uid="{232F75EF-88DE-4954-B431-6C71AD0ACD1A}" name="Level " dataDxfId="221"/>
    <tableColumn id="6" xr3:uid="{9826A79A-7D08-438C-8607-D5D6FC590E75}" name="Home " dataDxfId="220"/>
    <tableColumn id="7" xr3:uid="{7495AECA-E238-4D97-A878-5CFDA9802ADA}" name="Away " dataDxfId="219"/>
    <tableColumn id="8" xr3:uid="{908C6676-F6A2-4D7F-BE07-5FE0F4271735}" name="Home Total " dataDxfId="218"/>
    <tableColumn id="9" xr3:uid="{0834B74C-78DE-414E-A4DD-E40409B3918F}" name="Away Total" dataDxfId="217"/>
    <tableColumn id="10" xr3:uid="{09D2F003-BE3B-4ECB-9BE2-614CB5068059}" name="Facility" dataDxfId="216"/>
    <tableColumn id="11" xr3:uid="{29C17DD4-0E38-42FA-8ED3-A31EE9C7AC3C}" name="Win" dataDxfId="215"/>
    <tableColumn id="12" xr3:uid="{1436E8A0-7161-4430-AAEF-601112C19B80}" name="Loss" dataDxfId="214"/>
    <tableColumn id="13" xr3:uid="{F00C14E7-092D-4EFC-83AB-34562F6A3ABA}" name="GF" dataDxfId="213"/>
    <tableColumn id="14" xr3:uid="{95684161-0C52-4D84-8F00-B194F32A039F}" name="GA" dataDxfId="212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2B22047A-06A1-4B46-B1A4-DF7D63B0090A}" name="Table23" displayName="Table23" ref="A13:N24" totalsRowShown="0" headerRowDxfId="211" dataDxfId="209" headerRowBorderDxfId="210" tableBorderDxfId="208" totalsRowBorderDxfId="207">
  <autoFilter ref="A13:N24" xr:uid="{2B22047A-06A1-4B46-B1A4-DF7D63B0090A}"/>
  <sortState xmlns:xlrd2="http://schemas.microsoft.com/office/spreadsheetml/2017/richdata2" ref="A14:N24">
    <sortCondition ref="B13:B24"/>
  </sortState>
  <tableColumns count="14">
    <tableColumn id="1" xr3:uid="{12D5F175-F566-4B2B-98E6-F9C253FA555A}" name="Week" dataDxfId="206"/>
    <tableColumn id="2" xr3:uid="{46413694-18CF-40C0-B5C8-2172F9131D46}" name="Date" dataDxfId="205"/>
    <tableColumn id="3" xr3:uid="{6018DE5C-9C93-434E-8786-F44CEDD9A59C}" name="Day" dataDxfId="204"/>
    <tableColumn id="4" xr3:uid="{3AA33713-C25E-4931-AAF1-0E34DD207F1D}" name="Start" dataDxfId="203"/>
    <tableColumn id="5" xr3:uid="{9B6337EE-67FD-4080-AD05-171C96DE2C8E}" name="Level " dataDxfId="202"/>
    <tableColumn id="6" xr3:uid="{30426A60-45AE-4EC0-87DA-DC654F8DA49D}" name="Home " dataDxfId="201"/>
    <tableColumn id="7" xr3:uid="{173C95A9-3413-48D9-9332-62FABD03827C}" name="Away " dataDxfId="200"/>
    <tableColumn id="8" xr3:uid="{46E409CA-58F1-49EF-8665-1FB77EDBAA74}" name="Home Total " dataDxfId="199">
      <calculatedColumnFormula>+Schedule!H4</calculatedColumnFormula>
    </tableColumn>
    <tableColumn id="9" xr3:uid="{3F690567-ED35-4609-8F41-DC1DBC6D5671}" name="Away Total" dataDxfId="198">
      <calculatedColumnFormula>+Schedule!I4</calculatedColumnFormula>
    </tableColumn>
    <tableColumn id="10" xr3:uid="{055B7FF9-4B15-4163-BD40-29CFE441348F}" name="Facility" dataDxfId="197"/>
    <tableColumn id="11" xr3:uid="{174A923F-5F1A-4C8F-A1A7-E662E034D191}" name="Win " dataDxfId="196">
      <calculatedColumnFormula>+SUM(K4:K13)</calculatedColumnFormula>
    </tableColumn>
    <tableColumn id="12" xr3:uid="{558E8549-F2C1-4FD4-9175-D8D846BC96CA}" name="Loss" dataDxfId="195"/>
    <tableColumn id="13" xr3:uid="{350A2BC4-41C6-4C99-BF4D-0E9BD80F2CF4}" name="GF" dataDxfId="194"/>
    <tableColumn id="14" xr3:uid="{B2677AB0-9727-4066-B9EE-59A3DCA225AA}" name="GA" dataDxfId="193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FD7F9D2D-AE66-421E-85A3-53D17C11EDB5}" name="Table25" displayName="Table25" ref="A2:N13" totalsRowShown="0" headerRowDxfId="192" dataDxfId="190" headerRowBorderDxfId="191" tableBorderDxfId="189" totalsRowBorderDxfId="188">
  <autoFilter ref="A2:N13" xr:uid="{FD7F9D2D-AE66-421E-85A3-53D17C11EDB5}"/>
  <sortState xmlns:xlrd2="http://schemas.microsoft.com/office/spreadsheetml/2017/richdata2" ref="A3:K12">
    <sortCondition ref="B2:B12"/>
  </sortState>
  <tableColumns count="14">
    <tableColumn id="1" xr3:uid="{011D6464-093D-4B50-9049-8D962058B33B}" name="Week" dataDxfId="187"/>
    <tableColumn id="2" xr3:uid="{6189FC30-5211-4DFA-B2F0-4691E519C5EC}" name="Date" dataDxfId="186"/>
    <tableColumn id="3" xr3:uid="{34A4033C-E12C-4112-B2CC-FD58EB7CF4B4}" name="Day" dataDxfId="185"/>
    <tableColumn id="4" xr3:uid="{8B6C4A20-1066-4485-969A-19662DD10AE1}" name="Start" dataDxfId="184"/>
    <tableColumn id="5" xr3:uid="{76562D3C-0C01-489E-BA4D-372FD599C818}" name="Level " dataDxfId="183"/>
    <tableColumn id="6" xr3:uid="{6BB4FD62-D055-43F0-8230-17C51C6B22BA}" name="Home " dataDxfId="182"/>
    <tableColumn id="7" xr3:uid="{9D7742CF-0166-44B3-9756-8D460B9A19F0}" name="Away " dataDxfId="181"/>
    <tableColumn id="8" xr3:uid="{67AE9A09-9A76-4D26-AD4A-9C505DEF0BE5}" name="Home Total " dataDxfId="180"/>
    <tableColumn id="9" xr3:uid="{217BB36B-7C91-410A-9539-0CFE06A3CD70}" name="Away Total" dataDxfId="179"/>
    <tableColumn id="10" xr3:uid="{0403069D-8E98-445B-97BF-0780AD057E2D}" name="Facility" dataDxfId="178"/>
    <tableColumn id="11" xr3:uid="{CE1D5903-C4EE-463C-86C1-A5AB82C59490}" name="Win " dataDxfId="177"/>
    <tableColumn id="12" xr3:uid="{B31C7270-5708-429C-8EBF-562C405B7E37}" name="Loss" dataDxfId="176"/>
    <tableColumn id="13" xr3:uid="{E5F61CB6-0B39-4EB7-8930-F4842FF091A0}" name="GF" dataDxfId="175"/>
    <tableColumn id="14" xr3:uid="{63F50E07-BA5D-4AC6-A97C-09B2B320D550}" name="GA" dataDxfId="174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D36DCB28-D387-4EA4-9308-5AD69E2D41AC}" name="Table26" displayName="Table26" ref="A2:N13" totalsRowCount="1" headerRowDxfId="173" headerRowBorderDxfId="172" tableBorderDxfId="171" totalsRowBorderDxfId="170">
  <autoFilter ref="A2:N12" xr:uid="{D36DCB28-D387-4EA4-9308-5AD69E2D41AC}"/>
  <sortState xmlns:xlrd2="http://schemas.microsoft.com/office/spreadsheetml/2017/richdata2" ref="A3:K12">
    <sortCondition ref="B2:B12"/>
  </sortState>
  <tableColumns count="14">
    <tableColumn id="1" xr3:uid="{DFF6024E-0B66-4099-A225-8EDFC2F0EFF3}" name="Week" dataDxfId="169" totalsRowDxfId="168"/>
    <tableColumn id="2" xr3:uid="{18CB9B79-82DC-4F04-A153-1D1FC5025CCC}" name="Date" dataDxfId="167" totalsRowDxfId="166"/>
    <tableColumn id="3" xr3:uid="{261BBF7E-E64D-41D2-930A-5205E2D77ACA}" name="Day" dataDxfId="165" totalsRowDxfId="164"/>
    <tableColumn id="4" xr3:uid="{36674483-51C8-4C61-B721-063EEC1A4AA2}" name="Start" dataDxfId="163" totalsRowDxfId="162"/>
    <tableColumn id="5" xr3:uid="{00743785-74EF-4583-829C-4F0B22A5FA2D}" name="Level " dataDxfId="161" totalsRowDxfId="160"/>
    <tableColumn id="6" xr3:uid="{39DC9654-068B-4007-84FD-21EA9238FCEA}" name="Home " dataDxfId="159" totalsRowDxfId="158"/>
    <tableColumn id="7" xr3:uid="{5060DC0E-7B36-4460-84D2-CFE62A2F9027}" name="Away " dataDxfId="157" totalsRowDxfId="156"/>
    <tableColumn id="8" xr3:uid="{C28527A8-DD47-4558-BC30-3C7380B90E62}" name="Home Total " dataDxfId="155" totalsRowDxfId="154"/>
    <tableColumn id="9" xr3:uid="{0C47FA80-FEC9-4F78-9325-003F444B8A9C}" name="Away Total" dataDxfId="153" totalsRowDxfId="152"/>
    <tableColumn id="10" xr3:uid="{193160BE-005E-4C7F-9DD3-5FAAA9D17462}" name="Facility" dataDxfId="151" totalsRowDxfId="150"/>
    <tableColumn id="11" xr3:uid="{5E3686BC-F645-400E-B175-A3C2F3023114}" name="Win " totalsRowFunction="custom" dataDxfId="149" totalsRowDxfId="148">
      <totalsRowFormula>+SUM(K3:K12)</totalsRowFormula>
    </tableColumn>
    <tableColumn id="12" xr3:uid="{0326ACCC-54BC-4D66-B002-48464711942C}" name="Loss" totalsRowFunction="custom" dataDxfId="147" totalsRowDxfId="146">
      <totalsRowFormula>+SUM(L3:L12)</totalsRowFormula>
    </tableColumn>
    <tableColumn id="13" xr3:uid="{1F07E63D-F51F-4145-9331-5D19B348F05C}" name="GF" totalsRowFunction="custom" dataDxfId="145" totalsRowDxfId="144">
      <calculatedColumnFormula>+Table26[[#This Row],[Away Total]]</calculatedColumnFormula>
      <totalsRowFormula>+SUM(M3:M12)</totalsRowFormula>
    </tableColumn>
    <tableColumn id="14" xr3:uid="{826A0B23-D553-4D04-BFD7-762D296950F8}" name="GA" totalsRowFunction="custom" dataDxfId="143" totalsRowDxfId="142">
      <calculatedColumnFormula>+Table26[[#This Row],[Home Total ]]</calculatedColumnFormula>
      <totalsRowFormula>+SUM(N3:N12)</totalsRowFormula>
    </tableColumn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97F199F-67EE-40C8-BA5B-38B42ADA34A3}" name="Table29" displayName="Table29" ref="A2:N9" totalsRowShown="0" headerRowDxfId="141" dataDxfId="139" headerRowBorderDxfId="140" tableBorderDxfId="138" totalsRowBorderDxfId="137">
  <autoFilter ref="A2:N9" xr:uid="{097F199F-67EE-40C8-BA5B-38B42ADA34A3}"/>
  <sortState xmlns:xlrd2="http://schemas.microsoft.com/office/spreadsheetml/2017/richdata2" ref="A3:K8">
    <sortCondition ref="B2:B8"/>
  </sortState>
  <tableColumns count="14">
    <tableColumn id="1" xr3:uid="{DC1F3C87-B6F7-49D2-968E-85536BEA41F6}" name="Week" dataDxfId="136"/>
    <tableColumn id="2" xr3:uid="{06F7DC0D-9C2C-4162-8E95-01AF9F6D84C3}" name="Date" dataDxfId="135"/>
    <tableColumn id="3" xr3:uid="{A911F807-EB9C-47C7-9A4C-E068999C877A}" name="Day" dataDxfId="134"/>
    <tableColumn id="4" xr3:uid="{D1A60F6A-7AE1-4F69-BC4E-FB03BFD02615}" name="Start" dataDxfId="133"/>
    <tableColumn id="5" xr3:uid="{E62D3C2E-DE54-4E1C-89F2-D478CD35FCF0}" name="Level " dataDxfId="132"/>
    <tableColumn id="6" xr3:uid="{23248BEC-ADFB-4E49-AC7F-31A771E4D817}" name="Home " dataDxfId="131"/>
    <tableColumn id="7" xr3:uid="{43806F3E-09B3-4353-AB10-CCAB5A1E8B93}" name="Away " dataDxfId="130"/>
    <tableColumn id="8" xr3:uid="{5B1328B3-7109-4515-84E3-DDBA485ABDA8}" name="Home Total " dataDxfId="129"/>
    <tableColumn id="9" xr3:uid="{8C8BEB8B-0702-4725-A34F-72490465FDDB}" name="Away Total" dataDxfId="128"/>
    <tableColumn id="10" xr3:uid="{67BFB775-B8E4-4C0D-AD7C-FF0EBF7447B8}" name="Facility" dataDxfId="127"/>
    <tableColumn id="11" xr3:uid="{7E9C74D7-D30C-41FF-8F76-B48CFE50CF72}" name="Win" dataDxfId="126"/>
    <tableColumn id="12" xr3:uid="{D83A9A4A-CF95-4F59-AB43-1C98D345BA72}" name="Loss" dataDxfId="125"/>
    <tableColumn id="13" xr3:uid="{A162EA0C-4C06-4307-9450-FA9B500C0024}" name="GF" dataDxfId="124"/>
    <tableColumn id="14" xr3:uid="{524EFFF0-5E18-4C31-8C2A-CBAAF2F8FDA1}" name="GA" dataDxfId="123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FE992D10-5DB2-44B1-B383-B1677DF9DD0E}" name="Table30" displayName="Table30" ref="A13:N24" totalsRowShown="0" headerRowDxfId="122" dataDxfId="120" headerRowBorderDxfId="121" tableBorderDxfId="119" totalsRowBorderDxfId="118">
  <autoFilter ref="A13:N24" xr:uid="{FE992D10-5DB2-44B1-B383-B1677DF9DD0E}"/>
  <sortState xmlns:xlrd2="http://schemas.microsoft.com/office/spreadsheetml/2017/richdata2" ref="A14:K23">
    <sortCondition ref="B13:B23"/>
  </sortState>
  <tableColumns count="14">
    <tableColumn id="1" xr3:uid="{3B56CEBC-A10B-4E10-8E2B-E7EDD2506D0D}" name="Week" dataDxfId="117"/>
    <tableColumn id="2" xr3:uid="{E85524C9-F48E-42E8-9823-24E03842EB44}" name="Date" dataDxfId="116"/>
    <tableColumn id="3" xr3:uid="{E54F7F06-0930-40BE-8184-E21FF90A662E}" name="Day" dataDxfId="115"/>
    <tableColumn id="4" xr3:uid="{B28A1AE9-2301-476A-A12F-6143D6DD6982}" name="Start" dataDxfId="114"/>
    <tableColumn id="5" xr3:uid="{F26EEBA9-0211-45C8-B58E-F255671F6088}" name="Level " dataDxfId="113"/>
    <tableColumn id="6" xr3:uid="{961DD3DD-779F-4A46-9E88-7F7553A9872E}" name="Home " dataDxfId="112"/>
    <tableColumn id="7" xr3:uid="{20FECB3B-07C4-4001-B981-55C9787AEB0B}" name="Away " dataDxfId="111"/>
    <tableColumn id="8" xr3:uid="{7E8479C1-B62D-4D42-A535-6591B89D3809}" name="Home Total " dataDxfId="110"/>
    <tableColumn id="9" xr3:uid="{D5917162-14C7-469C-B9FC-A40DBBBFBA08}" name="Away Total" dataDxfId="109"/>
    <tableColumn id="10" xr3:uid="{7924D130-7600-4622-9D11-82594C5394CD}" name="Facility" dataDxfId="108"/>
    <tableColumn id="11" xr3:uid="{2AA0FBAB-E09B-4984-94E1-79161115DA48}" name="Win " dataDxfId="0">
      <calculatedColumnFormula>+SUM(K4:K13)</calculatedColumnFormula>
    </tableColumn>
    <tableColumn id="12" xr3:uid="{979A7CAB-DA74-48D3-BA96-F735089C9CA1}" name="Loss" dataDxfId="107"/>
    <tableColumn id="13" xr3:uid="{10405ACB-A792-439F-A2A1-9A3C830F0CA5}" name="GF" dataDxfId="106"/>
    <tableColumn id="14" xr3:uid="{33E367AF-5F23-4B90-A860-9971473919B6}" name="GA" dataDxfId="105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5DEC5E61-036D-42D7-911D-8F634D50D655}" name="Table31" displayName="Table31" ref="A12:N23" totalsRowCount="1" headerRowDxfId="104" dataDxfId="102" headerRowBorderDxfId="103" tableBorderDxfId="101" totalsRowBorderDxfId="100">
  <autoFilter ref="A12:N22" xr:uid="{5DEC5E61-036D-42D7-911D-8F634D50D655}"/>
  <sortState xmlns:xlrd2="http://schemas.microsoft.com/office/spreadsheetml/2017/richdata2" ref="A13:K22">
    <sortCondition ref="B12:B22"/>
  </sortState>
  <tableColumns count="14">
    <tableColumn id="1" xr3:uid="{4CC3022C-14A4-45ED-8015-AB3775BA76DA}" name="Week" dataDxfId="99" totalsRowDxfId="98"/>
    <tableColumn id="2" xr3:uid="{34F40B51-8E95-4C1C-BECF-6EB346AA1F80}" name="Date" dataDxfId="97" totalsRowDxfId="96"/>
    <tableColumn id="3" xr3:uid="{79B109BE-BADD-4584-98AB-A4B1A6143741}" name="Day" dataDxfId="95" totalsRowDxfId="94"/>
    <tableColumn id="4" xr3:uid="{BEB2CABA-C457-4EE9-A1A5-374C35F905F7}" name="Start" dataDxfId="93" totalsRowDxfId="92"/>
    <tableColumn id="5" xr3:uid="{19264D2B-55A4-4106-B229-4EA99CA81361}" name="Level " dataDxfId="91" totalsRowDxfId="90"/>
    <tableColumn id="6" xr3:uid="{2E65963D-24AC-4DEC-93AD-E6CF764BB352}" name="Home " dataDxfId="89" totalsRowDxfId="88"/>
    <tableColumn id="7" xr3:uid="{C1FBADC5-FE3C-4F2A-9B28-A75BB26DFD2F}" name="Away " dataDxfId="87" totalsRowDxfId="86"/>
    <tableColumn id="8" xr3:uid="{CE1C75CF-FF68-4741-9892-8FBCE9ED8CA9}" name="Home Total " dataDxfId="85" totalsRowDxfId="84"/>
    <tableColumn id="9" xr3:uid="{AAED1A09-87C5-4F68-A9E2-283D435DEDEC}" name="Away Total" dataDxfId="83" totalsRowDxfId="82"/>
    <tableColumn id="10" xr3:uid="{0761BDE0-6D3C-484E-A5F0-931340E62FC9}" name="Facility" dataDxfId="81" totalsRowDxfId="80"/>
    <tableColumn id="11" xr3:uid="{23B32CFD-DCD5-4682-9924-E68BC864EEDC}" name="Win " totalsRowFunction="custom" dataDxfId="79" totalsRowDxfId="78">
      <totalsRowFormula>+SUM(Table31[[Win ]])</totalsRowFormula>
    </tableColumn>
    <tableColumn id="12" xr3:uid="{F6BB1B8B-C905-4316-BDBD-B1F9EAC5EC5A}" name="Loss" totalsRowFunction="custom" dataDxfId="77" totalsRowDxfId="76">
      <totalsRowFormula>+SUM(Table31[Loss])</totalsRowFormula>
    </tableColumn>
    <tableColumn id="13" xr3:uid="{C312BB6C-AC75-442B-87E1-E6A815B61828}" name="GF" totalsRowFunction="custom" dataDxfId="75" totalsRowDxfId="74">
      <totalsRowFormula>+SUM(Table31[GF])</totalsRowFormula>
    </tableColumn>
    <tableColumn id="14" xr3:uid="{0A6F5D2B-0807-4239-B762-38B26A7F5A36}" name="GA" totalsRowFunction="custom" dataDxfId="73" totalsRowDxfId="72">
      <totalsRowFormula>+SUM(Table31[GA])</totalsRow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5911E409-8F26-4F15-93E2-1F4655698B20}" name="Table8" displayName="Table8" ref="A11:H25" totalsRowShown="0" headerRowDxfId="480" dataDxfId="478" headerRowBorderDxfId="479" tableBorderDxfId="477">
  <autoFilter ref="A11:H25" xr:uid="{5911E409-8F26-4F15-93E2-1F4655698B20}"/>
  <sortState xmlns:xlrd2="http://schemas.microsoft.com/office/spreadsheetml/2017/richdata2" ref="A12:H25">
    <sortCondition descending="1" ref="C12:C25"/>
    <sortCondition descending="1" ref="E12:E25"/>
    <sortCondition descending="1" ref="H12:H25"/>
  </sortState>
  <tableColumns count="8">
    <tableColumn id="1" xr3:uid="{C9EA745F-9132-41F4-8038-CBCC2BD5B033}" name="Team" dataDxfId="476"/>
    <tableColumn id="2" xr3:uid="{FF0351CB-C5DA-4288-8F6E-4D27952C4281}" name="GP" dataDxfId="475">
      <calculatedColumnFormula>+C12+D12</calculatedColumnFormula>
    </tableColumn>
    <tableColumn id="3" xr3:uid="{38ECB8DB-3203-489A-A85A-200E8EFF74EE}" name="W" dataDxfId="474"/>
    <tableColumn id="4" xr3:uid="{6583ECFE-C353-4EBD-BD6B-A113A11AFE92}" name="L" dataDxfId="473"/>
    <tableColumn id="5" xr3:uid="{31935907-5EF0-48BF-94E5-03E3DC9CF8E5}" name="PCT" dataDxfId="472">
      <calculatedColumnFormula>C12/(C12+D12)</calculatedColumnFormula>
    </tableColumn>
    <tableColumn id="6" xr3:uid="{0F171DAE-BEB7-4428-AA73-D924435292BA}" name="GF" dataDxfId="471"/>
    <tableColumn id="8" xr3:uid="{8585DE9F-EB8F-4FB3-9F23-C501ADC79D3A}" name="GA" dataDxfId="470"/>
    <tableColumn id="7" xr3:uid="{C52651CF-5F5F-44D2-AAFD-B64E0965D4B0}" name="DIFF" dataDxfId="469">
      <calculatedColumnFormula>+Table8[[#This Row],[GF]]-Table8[[#This Row],[GA]]</calculatedColumnFormula>
    </tableColumn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B7E0D7D6-ED6A-44AA-8347-60B4905E5F30}" name="Table32" displayName="Table32" ref="A2:N9" totalsRowCount="1" headerRowDxfId="71" dataDxfId="69" headerRowBorderDxfId="70" tableBorderDxfId="68" totalsRowBorderDxfId="67">
  <autoFilter ref="A2:N8" xr:uid="{B7E0D7D6-ED6A-44AA-8347-60B4905E5F30}"/>
  <sortState xmlns:xlrd2="http://schemas.microsoft.com/office/spreadsheetml/2017/richdata2" ref="A3:K8">
    <sortCondition ref="B2:B8"/>
  </sortState>
  <tableColumns count="14">
    <tableColumn id="1" xr3:uid="{39A2C338-8E3D-41DA-86B3-522DC55EFE64}" name="Week" dataDxfId="66" totalsRowDxfId="65"/>
    <tableColumn id="2" xr3:uid="{73E9FF26-D8AD-4C91-9194-A1ED2A74E7BB}" name="Date" dataDxfId="64" totalsRowDxfId="63"/>
    <tableColumn id="3" xr3:uid="{5312AA72-F79A-48F6-8028-8B037D6589E3}" name="Day" dataDxfId="62" totalsRowDxfId="61"/>
    <tableColumn id="4" xr3:uid="{A4DECCC6-4BD0-4181-85CE-7BB760BE3BB2}" name="Start" dataDxfId="60" totalsRowDxfId="59"/>
    <tableColumn id="5" xr3:uid="{63144F89-FAF1-48ED-BDAC-5E89B239B28D}" name="Level " dataDxfId="58" totalsRowDxfId="57"/>
    <tableColumn id="6" xr3:uid="{B3DEA933-D7CD-4978-AF2F-A20A3095A65A}" name="Home " dataDxfId="56" totalsRowDxfId="55"/>
    <tableColumn id="7" xr3:uid="{B804CE98-C112-42AE-A2B6-87B7EC44E4B6}" name="Away " dataDxfId="54" totalsRowDxfId="53"/>
    <tableColumn id="8" xr3:uid="{A619D531-497C-453F-BFEF-CB4321DF9EEB}" name="Home Total " dataDxfId="52" totalsRowDxfId="51"/>
    <tableColumn id="9" xr3:uid="{2774C9B9-4E7A-4426-BB69-17B081F76221}" name="Away Total" dataDxfId="50" totalsRowDxfId="49"/>
    <tableColumn id="10" xr3:uid="{54A55FE5-C270-4F9F-84E9-36DB9BCE89B7}" name="Facility" dataDxfId="48" totalsRowDxfId="47"/>
    <tableColumn id="11" xr3:uid="{BD35F2E1-4762-4248-939D-07BF8A2CE98B}" name="Win " totalsRowFunction="custom" dataDxfId="46" totalsRowDxfId="45">
      <totalsRowFormula>+SUM(Table32[[Win ]])</totalsRowFormula>
    </tableColumn>
    <tableColumn id="12" xr3:uid="{6D32AE43-FA68-4A00-A4E2-1FE739339E96}" name="Loss" totalsRowFunction="custom" dataDxfId="44" totalsRowDxfId="43">
      <totalsRowFormula>+SUM(Table32[Loss])</totalsRowFormula>
    </tableColumn>
    <tableColumn id="13" xr3:uid="{50E89A69-2C85-4ABE-A42C-A6A279C99AAC}" name="GF" totalsRowFunction="custom" dataDxfId="42" totalsRowDxfId="41">
      <totalsRowFormula>+SUM(Table32[GF])</totalsRowFormula>
    </tableColumn>
    <tableColumn id="14" xr3:uid="{BA0262D9-79B7-4BCA-9979-C0FB228156CB}" name="GA" totalsRowFunction="custom" dataDxfId="40" totalsRowDxfId="39">
      <totalsRowFormula>+SUM(Table32[GA])</totalsRowFormula>
    </tableColumn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AD9CB0B2-F343-47CF-8B8D-4F10B03F585C}" name="Table27" displayName="Table27" ref="A2:N13" totalsRowShown="0" headerRowDxfId="38" dataDxfId="36" headerRowBorderDxfId="37" tableBorderDxfId="35" totalsRowBorderDxfId="34">
  <autoFilter ref="A2:N13" xr:uid="{AD9CB0B2-F343-47CF-8B8D-4F10B03F585C}"/>
  <sortState xmlns:xlrd2="http://schemas.microsoft.com/office/spreadsheetml/2017/richdata2" ref="A3:K12">
    <sortCondition ref="B2:B12"/>
  </sortState>
  <tableColumns count="14">
    <tableColumn id="1" xr3:uid="{1BBD37F4-2798-4922-B324-0E8878FDC5F9}" name="Week" dataDxfId="33"/>
    <tableColumn id="2" xr3:uid="{402921FD-5277-43E6-ADEC-7CB384185EA8}" name="Date" dataDxfId="32"/>
    <tableColumn id="3" xr3:uid="{3E49F6D6-8106-4ABF-B978-F1B085BCE53F}" name="Day" dataDxfId="31"/>
    <tableColumn id="4" xr3:uid="{38B133FB-E817-4C6B-AE25-6B508B1B0234}" name="Start" dataDxfId="30"/>
    <tableColumn id="5" xr3:uid="{072211B6-91F8-47DC-9825-38EA54A690D0}" name="Level " dataDxfId="29"/>
    <tableColumn id="6" xr3:uid="{EC417991-DCFE-43A5-9353-983AF5302CF1}" name="Home " dataDxfId="28"/>
    <tableColumn id="7" xr3:uid="{FD0ED874-FB0D-4C90-83A6-D1D0AE097AD7}" name="Away " dataDxfId="27"/>
    <tableColumn id="8" xr3:uid="{B173C124-5329-4B14-984D-9D1F201DBA63}" name="Home Total " dataDxfId="26"/>
    <tableColumn id="9" xr3:uid="{D59A3A08-889A-410B-86E4-AC88EDC2CC04}" name="Away Total" dataDxfId="25"/>
    <tableColumn id="10" xr3:uid="{22365A3A-D0D8-412A-A029-4F4993FD3F38}" name="Facility" dataDxfId="24"/>
    <tableColumn id="11" xr3:uid="{E6D44CCE-3FFF-44DF-A72D-E247402270C6}" name="Win " dataDxfId="23"/>
    <tableColumn id="12" xr3:uid="{0AB5EE9E-2402-4C10-B681-35B2C5D69433}" name="Loss" dataDxfId="22"/>
    <tableColumn id="13" xr3:uid="{EFCA72DD-E6E5-496E-A033-7AB0BB713E50}" name="GF" dataDxfId="21"/>
    <tableColumn id="14" xr3:uid="{41F2ECC8-1FF8-4D29-B236-C0F632B957B5}" name="GA" dataDxfId="20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3F20681C-835C-46E4-941A-7437F7F5C0CA}" name="Table28" displayName="Table28" ref="A2:N13" totalsRowShown="0" headerRowDxfId="19" dataDxfId="17" headerRowBorderDxfId="18" tableBorderDxfId="16" totalsRowBorderDxfId="15">
  <autoFilter ref="A2:N13" xr:uid="{3F20681C-835C-46E4-941A-7437F7F5C0CA}"/>
  <sortState xmlns:xlrd2="http://schemas.microsoft.com/office/spreadsheetml/2017/richdata2" ref="A3:K12">
    <sortCondition ref="B2:B12"/>
  </sortState>
  <tableColumns count="14">
    <tableColumn id="1" xr3:uid="{7262C56F-FCED-46E3-A5EF-80FDE5FDA0CE}" name="Week" dataDxfId="14"/>
    <tableColumn id="2" xr3:uid="{66C2A90C-0CC4-4E98-A257-DDFDF5EECADC}" name="Date" dataDxfId="13"/>
    <tableColumn id="3" xr3:uid="{9A2391F2-396F-4B66-8392-C82B510C98BE}" name="Day" dataDxfId="12"/>
    <tableColumn id="4" xr3:uid="{592FE983-AA18-4B3C-9E18-85FA1A696C7A}" name="Start" dataDxfId="11"/>
    <tableColumn id="5" xr3:uid="{54DFED07-3B19-4832-AF38-06FD77520E26}" name="Level " dataDxfId="10"/>
    <tableColumn id="6" xr3:uid="{5309A9C2-E090-4FFF-8213-1D7B72587912}" name="Home " dataDxfId="9"/>
    <tableColumn id="7" xr3:uid="{2EE4A9C0-2FCB-4FB9-BCA7-0857E10FFD19}" name="Away " dataDxfId="8"/>
    <tableColumn id="8" xr3:uid="{B1249A6C-7A8B-40AD-A6DF-BE9936286BD9}" name="Home Total " dataDxfId="7"/>
    <tableColumn id="9" xr3:uid="{F534CF27-214F-497B-8021-0BE5D59E8B55}" name="Away Total" dataDxfId="6"/>
    <tableColumn id="10" xr3:uid="{DEC4CD70-6D8C-40E4-8A38-C67F7399D94A}" name="Facility" dataDxfId="5"/>
    <tableColumn id="11" xr3:uid="{98A82556-8A4E-4DE3-9FB0-9AE31A2FD7C1}" name="Win " dataDxfId="4"/>
    <tableColumn id="12" xr3:uid="{1619EE16-B008-46CB-9BC4-FE3B185008E1}" name="Loss" dataDxfId="3"/>
    <tableColumn id="13" xr3:uid="{6F433546-430E-4049-8F21-F1BB32E47EC5}" name="GF" dataDxfId="2"/>
    <tableColumn id="14" xr3:uid="{2884761C-A701-4F16-9B88-15BD9447A894}" name="GA" dataDxfId="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37C113E-1DDE-4B0B-B969-8FDF60DBDC8A}" name="Table57" displayName="Table57" ref="A1:K86" totalsRowShown="0" headerRowDxfId="468" dataDxfId="467" tableBorderDxfId="466">
  <autoFilter ref="A1:K86" xr:uid="{D37C113E-1DDE-4B0B-B969-8FDF60DBDC8A}"/>
  <sortState xmlns:xlrd2="http://schemas.microsoft.com/office/spreadsheetml/2017/richdata2" ref="A2:K86">
    <sortCondition ref="B2:B86"/>
    <sortCondition ref="J2:J86"/>
    <sortCondition ref="D2:D86"/>
  </sortState>
  <tableColumns count="11">
    <tableColumn id="3" xr3:uid="{92F9B88F-2C92-4EF0-94C0-CE3A2000C604}" name="Week " dataDxfId="465"/>
    <tableColumn id="7" xr3:uid="{3576634C-C147-4EE0-936F-B5290C68FC39}" name="Date" dataDxfId="464"/>
    <tableColumn id="6" xr3:uid="{F9C64B34-D2F7-4A91-9BDD-0DE58CF24098}" name="Day" dataDxfId="463"/>
    <tableColumn id="5" xr3:uid="{18D970C8-53BF-48E5-B3CB-0650D142A5CE}" name="Start" dataDxfId="462"/>
    <tableColumn id="4" xr3:uid="{0BFBF42B-D5E9-425B-BE7D-58179CD77F25}" name="Level " dataDxfId="461"/>
    <tableColumn id="1" xr3:uid="{7A350613-5FCB-4F3F-8FFA-BD3853958326}" name="Home " dataDxfId="460"/>
    <tableColumn id="2" xr3:uid="{EDFB8FE0-BBA8-4D2D-8BDF-4E3A8A907293}" name="Away" dataDxfId="459"/>
    <tableColumn id="8" xr3:uid="{1776672E-3317-4A52-87DD-43DABF97205D}" name="Home Total" dataDxfId="458"/>
    <tableColumn id="9" xr3:uid="{FC4F411D-2126-4445-AD69-C2000B1CB9E1}" name="Away Total" dataDxfId="457"/>
    <tableColumn id="10" xr3:uid="{2951AF1A-E29E-4416-9BB8-774192791644}" name="Facility" dataDxfId="456"/>
    <tableColumn id="11" xr3:uid="{F92C7E34-5A85-4A71-A905-E29BAB2D7F25}" name="Notes" dataDxfId="455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FA628EA0-3064-4C25-93F0-3A0ADABFF9E6}" name="Table14" displayName="Table14" ref="A2:N13" totalsRowCount="1" headerRowDxfId="454" dataDxfId="452" headerRowBorderDxfId="453" tableBorderDxfId="451" totalsRowBorderDxfId="450">
  <autoFilter ref="A2:N12" xr:uid="{FA628EA0-3064-4C25-93F0-3A0ADABFF9E6}"/>
  <sortState xmlns:xlrd2="http://schemas.microsoft.com/office/spreadsheetml/2017/richdata2" ref="A3:K12">
    <sortCondition ref="B2:B12"/>
  </sortState>
  <tableColumns count="14">
    <tableColumn id="1" xr3:uid="{72E8E88D-E460-41C3-885C-2B5E1C6BB34D}" name="Week" dataDxfId="449" totalsRowDxfId="448"/>
    <tableColumn id="2" xr3:uid="{B8F0C380-3405-4B7B-B4C0-310B42F3FE22}" name="Date" dataDxfId="447" totalsRowDxfId="446"/>
    <tableColumn id="3" xr3:uid="{7C40A71E-6C24-4411-B7E6-1A79A4A2BB3E}" name="Day" dataDxfId="445" totalsRowDxfId="444"/>
    <tableColumn id="4" xr3:uid="{4B258D90-1E12-41C7-AF51-FFE49E42BED8}" name="Start" dataDxfId="443" totalsRowDxfId="442"/>
    <tableColumn id="5" xr3:uid="{87CC2B5A-F3BA-41BD-AC88-40A58F54046B}" name="Level " dataDxfId="441" totalsRowDxfId="440"/>
    <tableColumn id="6" xr3:uid="{F0DCA083-0A4D-47A5-B3C9-38DEB1B1EA75}" name="Home " dataDxfId="439" totalsRowDxfId="438"/>
    <tableColumn id="7" xr3:uid="{10B85AAA-0D2B-472F-BEEA-9FC95E8335DA}" name="Away " dataDxfId="437" totalsRowDxfId="436"/>
    <tableColumn id="8" xr3:uid="{C6E37B3C-3A95-4693-BFBB-26E4DC152333}" name="Home Total " dataDxfId="435" totalsRowDxfId="434"/>
    <tableColumn id="9" xr3:uid="{89D9D56E-580E-482E-BE4E-6475AE96D56C}" name="Away Total" dataDxfId="433" totalsRowDxfId="432"/>
    <tableColumn id="10" xr3:uid="{8DC8AD22-78AF-4A9C-B36F-72EDF70B84CE}" name="Facility" dataDxfId="431" totalsRowDxfId="430"/>
    <tableColumn id="11" xr3:uid="{14CA42EB-F65A-45D0-BF9F-634643F363F2}" name="Win " totalsRowFunction="custom" dataDxfId="429" totalsRowDxfId="428">
      <totalsRowFormula>+SUM(Table14[[Win ]])</totalsRowFormula>
    </tableColumn>
    <tableColumn id="12" xr3:uid="{9B1E704F-D9EF-452C-A14D-393F6DEF1583}" name="Loss" totalsRowFunction="custom" dataDxfId="427" totalsRowDxfId="426">
      <totalsRowFormula>+SUM(Table14[Loss])</totalsRowFormula>
    </tableColumn>
    <tableColumn id="13" xr3:uid="{FA768434-3899-49FD-95A1-BE8220E739D9}" name="GF" totalsRowFunction="custom" dataDxfId="425" totalsRowDxfId="424">
      <totalsRowFormula>+SUM(Table14[GF])</totalsRowFormula>
    </tableColumn>
    <tableColumn id="14" xr3:uid="{752E0249-2122-456F-AB41-0124687D2668}" name="GA" totalsRowFunction="custom" dataDxfId="423" totalsRowDxfId="422">
      <totalsRowFormula>+SUM(Table14[GA])</totalsRow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35022A-FED6-4AB1-B626-1145695BEBDF}" name="Table11" displayName="Table11" ref="A2:N9" totalsRowCount="1" headerRowDxfId="421" dataDxfId="419" headerRowBorderDxfId="420" tableBorderDxfId="418">
  <autoFilter ref="A2:N8" xr:uid="{0035022A-FED6-4AB1-B626-1145695BEBDF}"/>
  <sortState xmlns:xlrd2="http://schemas.microsoft.com/office/spreadsheetml/2017/richdata2" ref="A3:K8">
    <sortCondition ref="B2:B8"/>
  </sortState>
  <tableColumns count="14">
    <tableColumn id="1" xr3:uid="{D3931803-C2AF-47FF-AE09-346676895239}" name="Week " dataDxfId="417" totalsRowDxfId="416"/>
    <tableColumn id="2" xr3:uid="{397C55E4-27D8-4B0D-BCC1-98D0CCB3BC4C}" name="Date" dataDxfId="415" totalsRowDxfId="414"/>
    <tableColumn id="3" xr3:uid="{2DE76435-D263-41A3-82DD-B24D1EC0B80A}" name="Day" dataDxfId="413" totalsRowDxfId="412"/>
    <tableColumn id="4" xr3:uid="{B75FF063-FC39-4418-A359-265F2C70C8AF}" name="Start" dataDxfId="411" totalsRowDxfId="410"/>
    <tableColumn id="5" xr3:uid="{EBD7AB4E-2253-4E81-B956-AE720C7D25CA}" name="Level " dataDxfId="409" totalsRowDxfId="408"/>
    <tableColumn id="6" xr3:uid="{72426D55-5399-4FF0-BD8F-2ED676EFEF56}" name="Home " dataDxfId="407" totalsRowDxfId="406"/>
    <tableColumn id="7" xr3:uid="{C32DC433-1A7C-4FDD-8966-89363160D08E}" name="Away" dataDxfId="405" totalsRowDxfId="404"/>
    <tableColumn id="8" xr3:uid="{AF5CE709-5436-4BB0-89DA-56CDE5980D76}" name="Home Total" dataDxfId="403" totalsRowDxfId="402"/>
    <tableColumn id="9" xr3:uid="{C9C6AF0A-FE4F-42F7-A0D2-B3B5B8F6DABA}" name="Away Total" dataDxfId="401" totalsRowDxfId="400"/>
    <tableColumn id="10" xr3:uid="{88763A64-7CE0-4485-81DD-6A296726CAD3}" name="Facility" dataDxfId="399" totalsRowDxfId="398"/>
    <tableColumn id="11" xr3:uid="{6E4BB9E8-04FB-4307-BFED-E8386A971816}" name="Win" totalsRowFunction="sum" dataDxfId="397" totalsRowDxfId="396"/>
    <tableColumn id="12" xr3:uid="{FD57B617-5D57-4388-A113-A4F3C519C49B}" name="Loss" totalsRowFunction="sum" dataDxfId="395" totalsRowDxfId="394"/>
    <tableColumn id="13" xr3:uid="{C00C853A-BF23-4CBB-A9E2-B0E599297A39}" name="GF" totalsRowFunction="sum" dataDxfId="393" totalsRowDxfId="392"/>
    <tableColumn id="14" xr3:uid="{552E1556-F00F-4A34-BB6A-B8324CB9D223}" name="GA" totalsRowFunction="sum" dataDxfId="391" totalsRowDxfId="390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BFD30DF0-EB96-40DB-8214-BC41368CA761}" name="Table12" displayName="Table12" ref="A12:N23" totalsRowShown="0" headerRowDxfId="389" dataDxfId="387" headerRowBorderDxfId="388" tableBorderDxfId="386">
  <autoFilter ref="A12:N23" xr:uid="{BFD30DF0-EB96-40DB-8214-BC41368CA761}"/>
  <sortState xmlns:xlrd2="http://schemas.microsoft.com/office/spreadsheetml/2017/richdata2" ref="A13:K22">
    <sortCondition ref="B12:B22"/>
  </sortState>
  <tableColumns count="14">
    <tableColumn id="1" xr3:uid="{F7171385-F2ED-4B05-84C8-933AF1885829}" name="Week " dataDxfId="385"/>
    <tableColumn id="2" xr3:uid="{6DBFB25D-CD99-4276-82FF-2F8798047C5A}" name="Date" dataDxfId="384"/>
    <tableColumn id="3" xr3:uid="{D40B5B5C-F473-40FA-9071-28194BEDAAA0}" name="Day" dataDxfId="383"/>
    <tableColumn id="4" xr3:uid="{8A86907E-F68A-4B30-AF58-9653312B7559}" name="Start" dataDxfId="382"/>
    <tableColumn id="5" xr3:uid="{C6092B15-B106-4232-8784-36CB65F70363}" name="Level " dataDxfId="381"/>
    <tableColumn id="6" xr3:uid="{31CB788E-7106-474F-AC5C-8CB5D0736597}" name="Home " dataDxfId="380"/>
    <tableColumn id="7" xr3:uid="{1098FB50-9DA5-4A3E-9417-B2EBE6C600ED}" name="Away" dataDxfId="379"/>
    <tableColumn id="8" xr3:uid="{F92A24A5-AE21-473B-8F61-4D5CC9D6C431}" name="Home Total" dataDxfId="378">
      <calculatedColumnFormula>+Schedule!H3</calculatedColumnFormula>
    </tableColumn>
    <tableColumn id="9" xr3:uid="{7AFD64AB-C28F-482C-A7F5-503B14DF70AC}" name="Away Total" dataDxfId="377">
      <calculatedColumnFormula>+Schedule!I3</calculatedColumnFormula>
    </tableColumn>
    <tableColumn id="10" xr3:uid="{C15FCA28-1993-4F21-82DA-C61601464111}" name="Facility" dataDxfId="376"/>
    <tableColumn id="11" xr3:uid="{3AAF0621-90FC-4202-B9A0-2C773BE04A35}" name="Win " dataDxfId="375">
      <calculatedColumnFormula>SUBTOTAL(109,K2:K12)</calculatedColumnFormula>
    </tableColumn>
    <tableColumn id="12" xr3:uid="{3941F743-133F-4A10-AC9E-BC312833160D}" name="Loss" dataDxfId="374">
      <calculatedColumnFormula>SUBTOTAL(109,L2:L12)</calculatedColumnFormula>
    </tableColumn>
    <tableColumn id="13" xr3:uid="{8D3D74EA-0BB5-43F6-85C5-271F22DC0E58}" name="GF" dataDxfId="373"/>
    <tableColumn id="14" xr3:uid="{64A05F8B-AB06-4F44-BE96-F224640D7E66}" name="GA" dataDxfId="372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9587EF3A-4C2C-4AD3-9CDE-C5555DEB3A67}" name="Table15" displayName="Table15" ref="A2:N13" totalsRowCount="1" headerRowDxfId="371" dataDxfId="369" headerRowBorderDxfId="370" tableBorderDxfId="368" totalsRowBorderDxfId="367">
  <autoFilter ref="A2:N12" xr:uid="{9587EF3A-4C2C-4AD3-9CDE-C5555DEB3A67}"/>
  <sortState xmlns:xlrd2="http://schemas.microsoft.com/office/spreadsheetml/2017/richdata2" ref="A3:K12">
    <sortCondition ref="B2:B12"/>
  </sortState>
  <tableColumns count="14">
    <tableColumn id="1" xr3:uid="{91F43FEE-D3BD-48D9-AEF4-3C4685621341}" name="Week" dataDxfId="366" totalsRowDxfId="365"/>
    <tableColumn id="2" xr3:uid="{6FD8F5E0-08D1-4982-8E55-0074524A7065}" name="Date" dataDxfId="364" totalsRowDxfId="363"/>
    <tableColumn id="3" xr3:uid="{2889F179-295D-48AA-98CD-CB2D21718675}" name="Day" dataDxfId="362" totalsRowDxfId="361"/>
    <tableColumn id="4" xr3:uid="{0C6174D9-9E4C-4BC3-B134-0AF7241D692D}" name="Start" dataDxfId="360" totalsRowDxfId="359"/>
    <tableColumn id="5" xr3:uid="{3ACE79E8-A091-40F4-B487-5097BB3BB42E}" name="Level " dataDxfId="358" totalsRowDxfId="357"/>
    <tableColumn id="6" xr3:uid="{4A31ACD7-7150-494F-9A37-78B27B409FB7}" name="Home " dataDxfId="356" totalsRowDxfId="355"/>
    <tableColumn id="7" xr3:uid="{1C812A28-FD56-45D2-838A-184762FA2CD1}" name="Away " dataDxfId="354" totalsRowDxfId="353"/>
    <tableColumn id="8" xr3:uid="{801CA4D7-48BC-4E68-B952-9F9698FEFF75}" name="Home Total " dataDxfId="352" totalsRowDxfId="351">
      <calculatedColumnFormula>+Schedule!H2</calculatedColumnFormula>
    </tableColumn>
    <tableColumn id="9" xr3:uid="{32ED8A1E-27DB-4E5B-BD30-CDE43CD95737}" name="Away Total" dataDxfId="350" totalsRowDxfId="349">
      <calculatedColumnFormula>+Schedule!I2</calculatedColumnFormula>
    </tableColumn>
    <tableColumn id="10" xr3:uid="{E91F334C-9A6E-4B53-BD09-57FE77691E17}" name="Facility" dataDxfId="348" totalsRowDxfId="347"/>
    <tableColumn id="11" xr3:uid="{A7963C7F-AE5B-455C-917C-ABE4B66A956B}" name="Win" totalsRowFunction="sum" dataDxfId="346" totalsRowDxfId="345"/>
    <tableColumn id="12" xr3:uid="{BE39FDA7-2F6A-4C4D-A197-11AD6CC47E1F}" name="Loss" totalsRowFunction="sum" dataDxfId="344" totalsRowDxfId="343"/>
    <tableColumn id="13" xr3:uid="{C9ECCCB5-2D33-46EA-8E11-42D5BB8EBC0B}" name="GF" totalsRowFunction="sum" dataDxfId="342" totalsRowDxfId="341">
      <calculatedColumnFormula>+Table15[[#This Row],[Away Total]]</calculatedColumnFormula>
    </tableColumn>
    <tableColumn id="14" xr3:uid="{311FFA1A-DB93-4A0B-997A-9AB8700DE4C9}" name="GA" totalsRowFunction="sum" dataDxfId="340" totalsRowDxfId="339">
      <calculatedColumnFormula>+Table15[[#This Row],[Home Total ]]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2CEE644B-22ED-4CC0-91CE-46C70FB5132B}" name="Table16" displayName="Table16" ref="A2:N13" totalsRowShown="0" headerRowDxfId="338" dataDxfId="336" headerRowBorderDxfId="337" tableBorderDxfId="335" totalsRowBorderDxfId="334">
  <autoFilter ref="A2:N13" xr:uid="{2CEE644B-22ED-4CC0-91CE-46C70FB5132B}"/>
  <sortState xmlns:xlrd2="http://schemas.microsoft.com/office/spreadsheetml/2017/richdata2" ref="A3:K12">
    <sortCondition ref="B2:B12"/>
  </sortState>
  <tableColumns count="14">
    <tableColumn id="1" xr3:uid="{3A7F09FB-3D9A-4D8B-9EE3-38FE4618B1AB}" name="Week" dataDxfId="333"/>
    <tableColumn id="2" xr3:uid="{5E199356-91CE-446A-B8A6-5021A58A3109}" name="Date" dataDxfId="332"/>
    <tableColumn id="3" xr3:uid="{25BE6108-72B4-4F82-BAEF-3835C06D5C3D}" name="Day" dataDxfId="331"/>
    <tableColumn id="4" xr3:uid="{826F5069-0B79-442D-B4B9-63ACF15A1746}" name="Start" dataDxfId="330"/>
    <tableColumn id="5" xr3:uid="{75B20E16-CF56-4EA4-9AE7-5A53677AB5E7}" name="Level " dataDxfId="329"/>
    <tableColumn id="6" xr3:uid="{B3647DF4-1F71-40DF-BE6B-726F64D72381}" name="Home " dataDxfId="328"/>
    <tableColumn id="7" xr3:uid="{0379C671-0440-48AF-B234-650C50FD6404}" name="Away " dataDxfId="327"/>
    <tableColumn id="8" xr3:uid="{99AFF294-4300-4A79-86EC-A0A1305B1FF2}" name="Home Total " dataDxfId="326">
      <calculatedColumnFormula>+Schedule!H2</calculatedColumnFormula>
    </tableColumn>
    <tableColumn id="9" xr3:uid="{D0ACB594-1D0B-4741-BA11-0ABE9324B997}" name="Away Total" dataDxfId="325"/>
    <tableColumn id="10" xr3:uid="{4842EF66-0951-4C65-AD1D-49732FED5CB9}" name="Facility" dataDxfId="324"/>
    <tableColumn id="11" xr3:uid="{0EFAF308-364F-4D92-9D6A-BCABA1231DEA}" name="Win" dataDxfId="323"/>
    <tableColumn id="12" xr3:uid="{F87E1154-4693-4BEB-837B-101E21384B17}" name="Loss" dataDxfId="322"/>
    <tableColumn id="13" xr3:uid="{F23C23B0-6FEB-4D4B-A181-34EBDA972A5E}" name="GF" dataDxfId="321"/>
    <tableColumn id="14" xr3:uid="{C01CE1BD-09F4-47ED-8DDD-C841A1F0CB95}" name="GA" dataDxfId="320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B83EE0B5-5B12-412D-AB42-A506F660D119}" name="Table18" displayName="Table18" ref="A2:N13" totalsRowShown="0" headerRowDxfId="319" dataDxfId="317" headerRowBorderDxfId="318" tableBorderDxfId="316" totalsRowBorderDxfId="315">
  <autoFilter ref="A2:N13" xr:uid="{B83EE0B5-5B12-412D-AB42-A506F660D119}"/>
  <sortState xmlns:xlrd2="http://schemas.microsoft.com/office/spreadsheetml/2017/richdata2" ref="A3:K12">
    <sortCondition ref="B2:B12"/>
  </sortState>
  <tableColumns count="14">
    <tableColumn id="1" xr3:uid="{18A1B5E0-7BB0-440C-A9DD-B08B8E94ACAB}" name="Week" dataDxfId="314"/>
    <tableColumn id="2" xr3:uid="{96E2FD92-6284-4D83-BB09-413D7DD225E5}" name="Date" dataDxfId="313"/>
    <tableColumn id="3" xr3:uid="{F554B4D1-B84F-47DD-A6F3-6A664DA512DF}" name="Day" dataDxfId="312"/>
    <tableColumn id="4" xr3:uid="{DD12F96A-0C9F-457E-9FE8-5A7F874D51BD}" name="Start" dataDxfId="311"/>
    <tableColumn id="5" xr3:uid="{DE30D8B2-E55B-42A1-8099-D0EC86793AD6}" name="Level " dataDxfId="310"/>
    <tableColumn id="6" xr3:uid="{779DCEAC-25C5-4421-8A72-FEDFDC568D9C}" name="Home " dataDxfId="309"/>
    <tableColumn id="7" xr3:uid="{B1A6FC42-4174-4B12-B92C-AA18A4AE94BD}" name="Away " dataDxfId="308"/>
    <tableColumn id="8" xr3:uid="{ACCE0B86-9A12-4388-B2B0-8018FE10D188}" name="Home Total " dataDxfId="307">
      <calculatedColumnFormula>+Schedule!H4</calculatedColumnFormula>
    </tableColumn>
    <tableColumn id="9" xr3:uid="{6C65E4A7-9910-4ECB-944B-A89671B41260}" name="Away Total" dataDxfId="306">
      <calculatedColumnFormula>+Schedule!I4</calculatedColumnFormula>
    </tableColumn>
    <tableColumn id="10" xr3:uid="{34D19956-4018-4ED5-936B-B14761007CC0}" name="Facility" dataDxfId="305"/>
    <tableColumn id="11" xr3:uid="{DE4CCAB8-E407-497C-A875-F88DA4D9B9ED}" name="Win" dataDxfId="304"/>
    <tableColumn id="12" xr3:uid="{B0DF6184-AA82-4B15-A866-12F5673C5627}" name="Loss" dataDxfId="303"/>
    <tableColumn id="13" xr3:uid="{DC137D55-FBCC-4E90-92C1-16BCFAD9976A}" name="GF" dataDxfId="302"/>
    <tableColumn id="14" xr3:uid="{5E5809ED-1BE4-4E6C-BDA9-CD0FC7D6A3B2}" name="GA" dataDxfId="30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outlinePr summaryBelow="0" summaryRight="0"/>
  </sheetPr>
  <dimension ref="A1:J26"/>
  <sheetViews>
    <sheetView tabSelected="1" zoomScaleNormal="100" zoomScaleSheetLayoutView="100" workbookViewId="0">
      <selection activeCell="D25" sqref="D25"/>
    </sheetView>
  </sheetViews>
  <sheetFormatPr defaultColWidth="12.5703125" defaultRowHeight="15" customHeight="1" x14ac:dyDescent="0.2"/>
  <cols>
    <col min="1" max="1" width="23.28515625" customWidth="1"/>
    <col min="2" max="8" width="9.7109375" customWidth="1"/>
    <col min="9" max="9" width="4.85546875" customWidth="1"/>
    <col min="10" max="10" width="29.7109375" customWidth="1"/>
    <col min="11" max="26" width="16.140625" customWidth="1"/>
  </cols>
  <sheetData>
    <row r="1" spans="1:10" ht="21.75" thickBot="1" x14ac:dyDescent="0.25">
      <c r="A1" s="229" t="s">
        <v>98</v>
      </c>
      <c r="B1" s="230"/>
      <c r="C1" s="230"/>
      <c r="D1" s="230"/>
      <c r="E1" s="230"/>
      <c r="F1" s="230"/>
      <c r="G1" s="230"/>
      <c r="H1" s="230"/>
    </row>
    <row r="2" spans="1:10" ht="18" customHeight="1" x14ac:dyDescent="0.3">
      <c r="A2" s="231" t="s">
        <v>52</v>
      </c>
      <c r="B2" s="232"/>
      <c r="C2" s="232"/>
      <c r="D2" s="232"/>
      <c r="E2" s="232"/>
      <c r="F2" s="232"/>
      <c r="G2" s="232"/>
      <c r="H2" s="233"/>
      <c r="J2" s="11" t="s">
        <v>59</v>
      </c>
    </row>
    <row r="3" spans="1:10" ht="18" thickBot="1" x14ac:dyDescent="0.35">
      <c r="A3" s="157" t="s">
        <v>1</v>
      </c>
      <c r="B3" s="158" t="s">
        <v>2</v>
      </c>
      <c r="C3" s="158" t="s">
        <v>3</v>
      </c>
      <c r="D3" s="158" t="s">
        <v>4</v>
      </c>
      <c r="E3" s="158" t="s">
        <v>5</v>
      </c>
      <c r="F3" s="158" t="s">
        <v>6</v>
      </c>
      <c r="G3" s="158" t="s">
        <v>7</v>
      </c>
      <c r="H3" s="158" t="s">
        <v>103</v>
      </c>
      <c r="J3" s="12" t="s">
        <v>54</v>
      </c>
    </row>
    <row r="4" spans="1:10" s="93" customFormat="1" ht="19.899999999999999" customHeight="1" x14ac:dyDescent="0.2">
      <c r="A4" s="151" t="s">
        <v>9</v>
      </c>
      <c r="B4" s="128">
        <f>+Table7[[#This Row],[W]]+Table7[[#This Row],[L]]</f>
        <v>2</v>
      </c>
      <c r="C4" s="128">
        <f>+Table11[[#Totals],[Win]]</f>
        <v>2</v>
      </c>
      <c r="D4" s="128">
        <f>+Table11[[#Totals],[Loss]]</f>
        <v>0</v>
      </c>
      <c r="E4" s="129">
        <f>C4/(C4+D4)</f>
        <v>1</v>
      </c>
      <c r="F4" s="128">
        <f>+Table11[[#Totals],[GF]]</f>
        <v>17</v>
      </c>
      <c r="G4" s="153">
        <f>+Table11[[#Totals],[GA]]</f>
        <v>8</v>
      </c>
      <c r="H4" s="161">
        <f>+Table7[[#This Row],[GF]]-Table7[[#This Row],[GA]]</f>
        <v>9</v>
      </c>
      <c r="J4" s="12" t="s">
        <v>55</v>
      </c>
    </row>
    <row r="5" spans="1:10" s="93" customFormat="1" ht="19.899999999999999" customHeight="1" x14ac:dyDescent="0.2">
      <c r="A5" s="152" t="s">
        <v>11</v>
      </c>
      <c r="B5" s="128">
        <f>+Table7[[#This Row],[W]]+Table7[[#This Row],[L]]</f>
        <v>1</v>
      </c>
      <c r="C5" s="91">
        <f>+'Sun V'!K9</f>
        <v>1</v>
      </c>
      <c r="D5" s="91">
        <f>+'Sun V'!L9</f>
        <v>0</v>
      </c>
      <c r="E5" s="92">
        <f>C5/(C5+D5)</f>
        <v>1</v>
      </c>
      <c r="F5" s="91">
        <f>+'Sun V'!M9</f>
        <v>7</v>
      </c>
      <c r="G5" s="91">
        <f>+'Sun V'!N9</f>
        <v>5</v>
      </c>
      <c r="H5" s="162">
        <f>+Table7[[#This Row],[GF]]-Table7[[#This Row],[GA]]</f>
        <v>2</v>
      </c>
      <c r="J5" s="12" t="s">
        <v>56</v>
      </c>
    </row>
    <row r="6" spans="1:10" s="93" customFormat="1" ht="19.899999999999999" customHeight="1" x14ac:dyDescent="0.2">
      <c r="A6" s="152" t="s">
        <v>8</v>
      </c>
      <c r="B6" s="128">
        <f>+Table7[[#This Row],[W]]+Table7[[#This Row],[L]]</f>
        <v>2</v>
      </c>
      <c r="C6" s="91">
        <f>+'Mtn View'!K9</f>
        <v>1</v>
      </c>
      <c r="D6" s="91">
        <f>+'Mtn View'!L9</f>
        <v>1</v>
      </c>
      <c r="E6" s="92">
        <f>C6/(C6+D6)</f>
        <v>0.5</v>
      </c>
      <c r="F6" s="91">
        <f>+'Mtn View'!M9</f>
        <v>10</v>
      </c>
      <c r="G6" s="91">
        <f>+'Mtn View'!N9</f>
        <v>12</v>
      </c>
      <c r="H6" s="162">
        <f>+Table7[[#This Row],[GF]]-Table7[[#This Row],[GA]]</f>
        <v>-2</v>
      </c>
      <c r="J6" s="12" t="s">
        <v>60</v>
      </c>
    </row>
    <row r="7" spans="1:10" s="93" customFormat="1" ht="19.899999999999999" customHeight="1" x14ac:dyDescent="0.2">
      <c r="A7" s="152" t="s">
        <v>12</v>
      </c>
      <c r="B7" s="128">
        <f>+Table7[[#This Row],[W]]+Table7[[#This Row],[L]]</f>
        <v>0</v>
      </c>
      <c r="C7" s="91">
        <f>+Table32[[#Totals],[Win ]]</f>
        <v>0</v>
      </c>
      <c r="D7" s="91">
        <f>+Table32[[#Totals],[Loss]]</f>
        <v>0</v>
      </c>
      <c r="E7" s="92" t="e">
        <f>C7/(C7+D7)</f>
        <v>#DIV/0!</v>
      </c>
      <c r="F7" s="91">
        <f>+Table32[[#Totals],[GF]]</f>
        <v>0</v>
      </c>
      <c r="G7" s="91">
        <f>+Table32[[#Totals],[GF]]</f>
        <v>0</v>
      </c>
      <c r="H7" s="197">
        <f>+Table32[[#Totals],[GA]]</f>
        <v>0</v>
      </c>
      <c r="J7" s="12" t="s">
        <v>57</v>
      </c>
    </row>
    <row r="8" spans="1:10" s="93" customFormat="1" ht="19.899999999999999" customHeight="1" thickBot="1" x14ac:dyDescent="0.25">
      <c r="A8" s="154" t="s">
        <v>21</v>
      </c>
      <c r="B8" s="128">
        <f>+Table7[[#This Row],[W]]+Table7[[#This Row],[L]]</f>
        <v>3</v>
      </c>
      <c r="C8" s="155">
        <f>+Idaho!K9</f>
        <v>0</v>
      </c>
      <c r="D8" s="155">
        <f>+Idaho!L9</f>
        <v>3</v>
      </c>
      <c r="E8" s="156">
        <f>C8/(C8+D8)</f>
        <v>0</v>
      </c>
      <c r="F8" s="155">
        <f>+Idaho!M9</f>
        <v>14</v>
      </c>
      <c r="G8" s="155">
        <f>+Idaho!N9</f>
        <v>23</v>
      </c>
      <c r="H8" s="198">
        <f>+Table7[[#This Row],[GF]]-Table7[[#This Row],[GA]]</f>
        <v>-9</v>
      </c>
      <c r="J8" s="13" t="s">
        <v>58</v>
      </c>
    </row>
    <row r="9" spans="1:10" ht="4.5" customHeight="1" x14ac:dyDescent="0.2">
      <c r="A9" s="234"/>
      <c r="B9" s="235"/>
      <c r="C9" s="235"/>
      <c r="D9" s="235"/>
      <c r="E9" s="235"/>
      <c r="F9" s="235"/>
      <c r="G9" s="235"/>
      <c r="H9" s="235"/>
    </row>
    <row r="10" spans="1:10" ht="18" customHeight="1" x14ac:dyDescent="0.3">
      <c r="A10" s="231" t="s">
        <v>13</v>
      </c>
      <c r="B10" s="232"/>
      <c r="C10" s="232"/>
      <c r="D10" s="232"/>
      <c r="E10" s="232"/>
      <c r="F10" s="232"/>
      <c r="G10" s="232"/>
      <c r="H10" s="232"/>
    </row>
    <row r="11" spans="1:10" ht="18" thickBot="1" x14ac:dyDescent="0.35">
      <c r="A11" s="157" t="s">
        <v>1</v>
      </c>
      <c r="B11" s="158" t="s">
        <v>2</v>
      </c>
      <c r="C11" s="158" t="s">
        <v>3</v>
      </c>
      <c r="D11" s="158" t="s">
        <v>4</v>
      </c>
      <c r="E11" s="158" t="s">
        <v>5</v>
      </c>
      <c r="F11" s="158" t="s">
        <v>6</v>
      </c>
      <c r="G11" s="158" t="s">
        <v>7</v>
      </c>
      <c r="H11" s="158" t="s">
        <v>103</v>
      </c>
    </row>
    <row r="12" spans="1:10" s="93" customFormat="1" ht="19.899999999999999" customHeight="1" x14ac:dyDescent="0.2">
      <c r="A12" s="151" t="s">
        <v>9</v>
      </c>
      <c r="B12" s="128">
        <f>+C12+D12</f>
        <v>4</v>
      </c>
      <c r="C12" s="128">
        <f>+Boise!K23</f>
        <v>4</v>
      </c>
      <c r="D12" s="128">
        <f>+Boise!L23</f>
        <v>0</v>
      </c>
      <c r="E12" s="129">
        <f>C12/(C12+D12)</f>
        <v>1</v>
      </c>
      <c r="F12" s="128">
        <f>+Boise!M23</f>
        <v>57</v>
      </c>
      <c r="G12" s="128">
        <f>+Boise!N23</f>
        <v>9</v>
      </c>
      <c r="H12" s="162">
        <f>+Table8[[#This Row],[GF]]-Table8[[#This Row],[GA]]</f>
        <v>48</v>
      </c>
    </row>
    <row r="13" spans="1:10" s="93" customFormat="1" ht="19.899999999999999" customHeight="1" x14ac:dyDescent="0.2">
      <c r="A13" s="152" t="s">
        <v>14</v>
      </c>
      <c r="B13" s="91">
        <f>+C13+D13</f>
        <v>4</v>
      </c>
      <c r="C13" s="91">
        <f>+Eagle!K13</f>
        <v>4</v>
      </c>
      <c r="D13" s="91">
        <f>+Eagle!L13</f>
        <v>0</v>
      </c>
      <c r="E13" s="92">
        <f>C13/(C13+D13)</f>
        <v>1</v>
      </c>
      <c r="F13" s="91">
        <f>+Eagle!M13</f>
        <v>51</v>
      </c>
      <c r="G13" s="91">
        <f>+Eagle!N13</f>
        <v>17</v>
      </c>
      <c r="H13" s="162">
        <f>+Table8[[#This Row],[GF]]-Table8[[#This Row],[GA]]</f>
        <v>34</v>
      </c>
    </row>
    <row r="14" spans="1:10" s="93" customFormat="1" ht="19.899999999999999" customHeight="1" x14ac:dyDescent="0.2">
      <c r="A14" s="152" t="s">
        <v>17</v>
      </c>
      <c r="B14" s="91">
        <f>+C14+D14</f>
        <v>5</v>
      </c>
      <c r="C14" s="91">
        <f>+Table26[[#Totals],[Win ]]</f>
        <v>4</v>
      </c>
      <c r="D14" s="91">
        <f>+Table26[[#Totals],[Loss]]</f>
        <v>1</v>
      </c>
      <c r="E14" s="92">
        <f>C14/(C14+D14)</f>
        <v>0.8</v>
      </c>
      <c r="F14" s="91">
        <f>+Table26[[#Totals],[GF]]</f>
        <v>62</v>
      </c>
      <c r="G14" s="91">
        <f>+Table26[[#Totals],[GA]]</f>
        <v>31</v>
      </c>
      <c r="H14" s="162">
        <f>+Table8[[#This Row],[GF]]-Table8[[#This Row],[GA]]</f>
        <v>31</v>
      </c>
    </row>
    <row r="15" spans="1:10" s="93" customFormat="1" ht="19.899999999999999" customHeight="1" x14ac:dyDescent="0.2">
      <c r="A15" s="152" t="s">
        <v>19</v>
      </c>
      <c r="B15" s="91">
        <f>+C15+D15</f>
        <v>5</v>
      </c>
      <c r="C15" s="91">
        <f>+Timber!K13</f>
        <v>3</v>
      </c>
      <c r="D15" s="91">
        <f>+Timber!L13</f>
        <v>2</v>
      </c>
      <c r="E15" s="92">
        <f>C15/(C15+D15)</f>
        <v>0.6</v>
      </c>
      <c r="F15" s="91">
        <f>+Timber!M13</f>
        <v>38</v>
      </c>
      <c r="G15" s="91">
        <f>+Timber!N13</f>
        <v>44</v>
      </c>
      <c r="H15" s="162">
        <f>+Table8[[#This Row],[GF]]-Table8[[#This Row],[GA]]</f>
        <v>-6</v>
      </c>
    </row>
    <row r="16" spans="1:10" s="93" customFormat="1" ht="19.899999999999999" customHeight="1" x14ac:dyDescent="0.2">
      <c r="A16" s="152" t="s">
        <v>12</v>
      </c>
      <c r="B16" s="91">
        <f>+C16+D16</f>
        <v>3</v>
      </c>
      <c r="C16" s="91">
        <f>+Table31[[#Totals],[Win ]]</f>
        <v>2</v>
      </c>
      <c r="D16" s="91">
        <f>+Table31[[#Totals],[Loss]]</f>
        <v>1</v>
      </c>
      <c r="E16" s="92">
        <f>C16/(C16+D16)</f>
        <v>0.66666666666666663</v>
      </c>
      <c r="F16" s="91">
        <f>+Table31[[#Totals],[GF]]</f>
        <v>19</v>
      </c>
      <c r="G16" s="91">
        <f>+Table31[[#Totals],[GA]]</f>
        <v>16</v>
      </c>
      <c r="H16" s="162">
        <f>+Table8[[#This Row],[GF]]-Table8[[#This Row],[GA]]</f>
        <v>3</v>
      </c>
    </row>
    <row r="17" spans="1:8" s="93" customFormat="1" ht="19.899999999999999" customHeight="1" x14ac:dyDescent="0.2">
      <c r="A17" s="152" t="s">
        <v>10</v>
      </c>
      <c r="B17" s="91">
        <f>+C17+D17</f>
        <v>4</v>
      </c>
      <c r="C17" s="91">
        <f>+Table14[[#Totals],[Win ]]</f>
        <v>2</v>
      </c>
      <c r="D17" s="91">
        <f>+Table14[[#Totals],[Loss]]</f>
        <v>2</v>
      </c>
      <c r="E17" s="92">
        <f>C17/(C17+D17)</f>
        <v>0.5</v>
      </c>
      <c r="F17" s="91">
        <f>+Table14[[#Totals],[GF]]</f>
        <v>49</v>
      </c>
      <c r="G17" s="91">
        <f>+Table14[[#Totals],[GA]]</f>
        <v>48</v>
      </c>
      <c r="H17" s="162">
        <f>+Table8[[#This Row],[GF]]-Table8[[#This Row],[GA]]</f>
        <v>1</v>
      </c>
    </row>
    <row r="18" spans="1:8" s="93" customFormat="1" ht="19.899999999999999" customHeight="1" x14ac:dyDescent="0.2">
      <c r="A18" s="152" t="s">
        <v>8</v>
      </c>
      <c r="B18" s="91">
        <f>+C18+D18</f>
        <v>4</v>
      </c>
      <c r="C18" s="91">
        <f>+'Mtn View'!K24</f>
        <v>2</v>
      </c>
      <c r="D18" s="91">
        <f>+'Mtn View'!L24</f>
        <v>2</v>
      </c>
      <c r="E18" s="92">
        <f>C18/(C18+D18)</f>
        <v>0.5</v>
      </c>
      <c r="F18" s="91">
        <f>+'Mtn View'!M24</f>
        <v>30</v>
      </c>
      <c r="G18" s="91">
        <f>+'Mtn View'!N24</f>
        <v>39</v>
      </c>
      <c r="H18" s="162">
        <f>+Table8[[#This Row],[GF]]-Table8[[#This Row],[GA]]</f>
        <v>-9</v>
      </c>
    </row>
    <row r="19" spans="1:8" s="93" customFormat="1" ht="19.899999999999999" customHeight="1" x14ac:dyDescent="0.2">
      <c r="A19" s="152" t="s">
        <v>51</v>
      </c>
      <c r="B19" s="91">
        <f>+C19+D19</f>
        <v>2</v>
      </c>
      <c r="C19" s="91">
        <f>+Centennial!K13</f>
        <v>1</v>
      </c>
      <c r="D19" s="91">
        <f>+Centennial!L13</f>
        <v>1</v>
      </c>
      <c r="E19" s="92">
        <f>C19/(C19+D19)</f>
        <v>0.5</v>
      </c>
      <c r="F19" s="91">
        <f>+Centennial!M13</f>
        <v>14</v>
      </c>
      <c r="G19" s="91">
        <f>+Centennial!N13</f>
        <v>19</v>
      </c>
      <c r="H19" s="162">
        <f>+Table8[[#This Row],[GF]]-Table8[[#This Row],[GA]]</f>
        <v>-5</v>
      </c>
    </row>
    <row r="20" spans="1:8" s="93" customFormat="1" ht="19.899999999999999" customHeight="1" x14ac:dyDescent="0.2">
      <c r="A20" s="152" t="s">
        <v>15</v>
      </c>
      <c r="B20" s="91">
        <f>+C20+D20</f>
        <v>3</v>
      </c>
      <c r="C20" s="91">
        <f>+Table21[[#Totals],[Win]]</f>
        <v>1</v>
      </c>
      <c r="D20" s="91">
        <f>+Table21[[#Totals],[Loss]]</f>
        <v>2</v>
      </c>
      <c r="E20" s="92">
        <f>C20/(C20+D20)</f>
        <v>0.33333333333333331</v>
      </c>
      <c r="F20" s="91">
        <f>+Table21[[#Totals],[GF]]</f>
        <v>15</v>
      </c>
      <c r="G20" s="91">
        <f>+Table21[[#Totals],[GA]]</f>
        <v>28</v>
      </c>
      <c r="H20" s="162">
        <f>+Table8[[#This Row],[GF]]-Table8[[#This Row],[GA]]</f>
        <v>-13</v>
      </c>
    </row>
    <row r="21" spans="1:8" s="93" customFormat="1" ht="19.899999999999999" customHeight="1" x14ac:dyDescent="0.2">
      <c r="A21" s="152" t="s">
        <v>20</v>
      </c>
      <c r="B21" s="91">
        <f>+C21+D21</f>
        <v>6</v>
      </c>
      <c r="C21" s="91">
        <f>+Owyhee!K13</f>
        <v>1</v>
      </c>
      <c r="D21" s="91">
        <f>+Owyhee!L13</f>
        <v>5</v>
      </c>
      <c r="E21" s="92">
        <f>C21/(C21+D21)</f>
        <v>0.16666666666666666</v>
      </c>
      <c r="F21" s="91">
        <f>+Owyhee!M13</f>
        <v>31</v>
      </c>
      <c r="G21" s="91">
        <f>+Owyhee!N13</f>
        <v>40</v>
      </c>
      <c r="H21" s="162">
        <f>+Table8[[#This Row],[GF]]-Table8[[#This Row],[GA]]</f>
        <v>-9</v>
      </c>
    </row>
    <row r="22" spans="1:8" s="93" customFormat="1" ht="19.899999999999999" customHeight="1" x14ac:dyDescent="0.2">
      <c r="A22" s="152" t="s">
        <v>11</v>
      </c>
      <c r="B22" s="91">
        <f>+C22+D22</f>
        <v>0</v>
      </c>
      <c r="C22" s="91">
        <f>+'Sun V'!K24</f>
        <v>0</v>
      </c>
      <c r="D22" s="91">
        <f>+'Sun V'!L24</f>
        <v>0</v>
      </c>
      <c r="E22" s="92" t="e">
        <f>C22/(C22+D22)</f>
        <v>#DIV/0!</v>
      </c>
      <c r="F22" s="91">
        <f>+'Sun V'!M24</f>
        <v>0</v>
      </c>
      <c r="G22" s="91">
        <f>+'Sun V'!N24</f>
        <v>0</v>
      </c>
      <c r="H22" s="162">
        <f>+Table8[[#This Row],[GF]]-Table8[[#This Row],[GA]]</f>
        <v>0</v>
      </c>
    </row>
    <row r="23" spans="1:8" s="93" customFormat="1" ht="19.899999999999999" customHeight="1" x14ac:dyDescent="0.2">
      <c r="A23" s="152" t="s">
        <v>21</v>
      </c>
      <c r="B23" s="91">
        <f>+C23+D23</f>
        <v>1</v>
      </c>
      <c r="C23" s="91">
        <f>+Idaho!K24</f>
        <v>0</v>
      </c>
      <c r="D23" s="91">
        <f>+Idaho!L24</f>
        <v>1</v>
      </c>
      <c r="E23" s="92">
        <f>C23/(C23+D23)</f>
        <v>0</v>
      </c>
      <c r="F23" s="91">
        <f>+Idaho!M24</f>
        <v>6</v>
      </c>
      <c r="G23" s="91">
        <f>+Idaho!N24</f>
        <v>13</v>
      </c>
      <c r="H23" s="162">
        <f>+Table8[[#This Row],[GF]]-Table8[[#This Row],[GA]]</f>
        <v>-7</v>
      </c>
    </row>
    <row r="24" spans="1:8" s="93" customFormat="1" ht="19.899999999999999" customHeight="1" x14ac:dyDescent="0.2">
      <c r="A24" s="152" t="s">
        <v>22</v>
      </c>
      <c r="B24" s="91">
        <f>+C24+D24</f>
        <v>3</v>
      </c>
      <c r="C24" s="91">
        <f>+Table15[[#Totals],[Win]]</f>
        <v>0</v>
      </c>
      <c r="D24" s="91">
        <f>+Table15[[#Totals],[Loss]]</f>
        <v>3</v>
      </c>
      <c r="E24" s="92">
        <f>C24/(C24+D24)</f>
        <v>0</v>
      </c>
      <c r="F24" s="91">
        <f>+Table15[[#Totals],[GF]]</f>
        <v>6</v>
      </c>
      <c r="G24" s="91">
        <f>+Table15[[#Totals],[GA]]</f>
        <v>35</v>
      </c>
      <c r="H24" s="162">
        <f>+Table8[[#This Row],[GF]]-Table8[[#This Row],[GA]]</f>
        <v>-29</v>
      </c>
    </row>
    <row r="25" spans="1:8" s="93" customFormat="1" ht="19.899999999999999" customHeight="1" x14ac:dyDescent="0.2">
      <c r="A25" s="154" t="s">
        <v>16</v>
      </c>
      <c r="B25" s="155">
        <f>+C25+D25</f>
        <v>4</v>
      </c>
      <c r="C25" s="155">
        <f>+Vallivue!K13</f>
        <v>0</v>
      </c>
      <c r="D25" s="155">
        <f>+Vallivue!L13</f>
        <v>4</v>
      </c>
      <c r="E25" s="156">
        <f>C25/(C25+D25)</f>
        <v>0</v>
      </c>
      <c r="F25" s="155">
        <f>+Vallivue!M13</f>
        <v>23</v>
      </c>
      <c r="G25" s="155">
        <f>+Vallivue!N13</f>
        <v>60</v>
      </c>
      <c r="H25" s="162">
        <f>+Table8[[#This Row],[GF]]-Table8[[#This Row],[GA]]</f>
        <v>-37</v>
      </c>
    </row>
    <row r="26" spans="1:8" ht="4.5" customHeight="1" x14ac:dyDescent="0.2">
      <c r="A26" s="235"/>
      <c r="B26" s="235"/>
      <c r="C26" s="235"/>
      <c r="D26" s="235"/>
      <c r="E26" s="235"/>
      <c r="F26" s="235"/>
      <c r="G26" s="235"/>
      <c r="H26" s="235"/>
    </row>
  </sheetData>
  <sheetProtection algorithmName="SHA-512" hashValue="hP72mKea/Ste/cOW9Fyqx6eour7nKk1fnQN9fAjbdtQJCT3iJnT/Dw8wTC+Z/iNPZbOr6zKChGU2gmfqA9iwUQ==" saltValue="OTmDMTVm+udm0z7LbvSjiQ==" spinCount="100000" sheet="1" objects="1" scenarios="1"/>
  <mergeCells count="5">
    <mergeCell ref="A1:H1"/>
    <mergeCell ref="A2:H2"/>
    <mergeCell ref="A10:H10"/>
    <mergeCell ref="A9:H9"/>
    <mergeCell ref="A26:H26"/>
  </mergeCells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1:O25"/>
  <sheetViews>
    <sheetView topLeftCell="B1" workbookViewId="0">
      <selection activeCell="F28" sqref="F28"/>
    </sheetView>
  </sheetViews>
  <sheetFormatPr defaultColWidth="12.5703125" defaultRowHeight="15" customHeight="1" x14ac:dyDescent="0.2"/>
  <cols>
    <col min="1" max="1" width="11.140625" customWidth="1"/>
    <col min="2" max="5" width="10.7109375" customWidth="1"/>
    <col min="6" max="9" width="14.7109375" customWidth="1"/>
    <col min="10" max="10" width="62.5703125" bestFit="1" customWidth="1"/>
    <col min="11" max="14" width="9.7109375" customWidth="1"/>
    <col min="15" max="21" width="8.5703125" customWidth="1"/>
  </cols>
  <sheetData>
    <row r="1" spans="1:15" s="1" customFormat="1" ht="15" customHeight="1" x14ac:dyDescent="0.25">
      <c r="A1" s="236" t="s">
        <v>78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</row>
    <row r="2" spans="1:15" s="1" customFormat="1" ht="15" customHeight="1" x14ac:dyDescent="0.25">
      <c r="A2" s="29" t="s">
        <v>53</v>
      </c>
      <c r="B2" s="22" t="s">
        <v>23</v>
      </c>
      <c r="C2" s="23" t="s">
        <v>42</v>
      </c>
      <c r="D2" s="24" t="s">
        <v>24</v>
      </c>
      <c r="E2" s="24" t="s">
        <v>63</v>
      </c>
      <c r="F2" s="24" t="s">
        <v>62</v>
      </c>
      <c r="G2" s="25" t="s">
        <v>65</v>
      </c>
      <c r="H2" s="24" t="s">
        <v>66</v>
      </c>
      <c r="I2" s="24" t="s">
        <v>40</v>
      </c>
      <c r="J2" s="27" t="s">
        <v>26</v>
      </c>
      <c r="K2" s="30" t="s">
        <v>101</v>
      </c>
      <c r="L2" s="24" t="s">
        <v>100</v>
      </c>
      <c r="M2" s="24" t="s">
        <v>6</v>
      </c>
      <c r="N2" s="24" t="s">
        <v>7</v>
      </c>
    </row>
    <row r="3" spans="1:15" s="1" customFormat="1" ht="15" customHeight="1" x14ac:dyDescent="0.25">
      <c r="A3" s="142">
        <v>2</v>
      </c>
      <c r="B3" s="145">
        <v>45728</v>
      </c>
      <c r="C3" s="146" t="s">
        <v>47</v>
      </c>
      <c r="D3" s="167">
        <v>0.75</v>
      </c>
      <c r="E3" s="140" t="s">
        <v>0</v>
      </c>
      <c r="F3" s="140" t="s">
        <v>8</v>
      </c>
      <c r="G3" s="140" t="s">
        <v>9</v>
      </c>
      <c r="H3" s="140">
        <v>4</v>
      </c>
      <c r="I3" s="140">
        <v>7</v>
      </c>
      <c r="J3" s="144" t="s">
        <v>36</v>
      </c>
      <c r="K3" s="170"/>
      <c r="L3" s="159">
        <v>1</v>
      </c>
      <c r="M3" s="159">
        <v>4</v>
      </c>
      <c r="N3" s="173">
        <v>7</v>
      </c>
    </row>
    <row r="4" spans="1:15" s="1" customFormat="1" ht="15" customHeight="1" x14ac:dyDescent="0.25">
      <c r="A4" s="36">
        <v>3</v>
      </c>
      <c r="B4" s="145">
        <v>45745</v>
      </c>
      <c r="C4" s="142" t="s">
        <v>44</v>
      </c>
      <c r="D4" s="168">
        <v>0.58333333333333337</v>
      </c>
      <c r="E4" s="140" t="s">
        <v>0</v>
      </c>
      <c r="F4" s="140" t="s">
        <v>21</v>
      </c>
      <c r="G4" s="140" t="s">
        <v>8</v>
      </c>
      <c r="H4" s="140">
        <v>5</v>
      </c>
      <c r="I4" s="140">
        <v>6</v>
      </c>
      <c r="J4" s="144" t="s">
        <v>106</v>
      </c>
      <c r="K4" s="170">
        <v>1</v>
      </c>
      <c r="L4" s="159"/>
      <c r="M4" s="159">
        <v>6</v>
      </c>
      <c r="N4" s="173">
        <v>5</v>
      </c>
    </row>
    <row r="5" spans="1:15" s="1" customFormat="1" ht="15" customHeight="1" x14ac:dyDescent="0.25">
      <c r="A5" s="35">
        <v>5</v>
      </c>
      <c r="B5" s="39">
        <v>45755</v>
      </c>
      <c r="C5" s="42" t="s">
        <v>46</v>
      </c>
      <c r="D5" s="37">
        <v>0.75</v>
      </c>
      <c r="E5" s="35" t="s">
        <v>0</v>
      </c>
      <c r="F5" s="35" t="s">
        <v>9</v>
      </c>
      <c r="G5" s="35" t="s">
        <v>8</v>
      </c>
      <c r="H5" s="35"/>
      <c r="I5" s="35"/>
      <c r="J5" s="53" t="s">
        <v>31</v>
      </c>
      <c r="K5" s="147"/>
      <c r="L5" s="38"/>
      <c r="M5" s="38"/>
      <c r="N5" s="163"/>
    </row>
    <row r="6" spans="1:15" s="1" customFormat="1" ht="15" customHeight="1" x14ac:dyDescent="0.25">
      <c r="A6" s="35">
        <v>6</v>
      </c>
      <c r="B6" s="39">
        <v>45763</v>
      </c>
      <c r="C6" s="36" t="s">
        <v>47</v>
      </c>
      <c r="D6" s="37">
        <v>0.75</v>
      </c>
      <c r="E6" s="35" t="s">
        <v>0</v>
      </c>
      <c r="F6" s="35" t="s">
        <v>8</v>
      </c>
      <c r="G6" s="35" t="s">
        <v>11</v>
      </c>
      <c r="H6" s="35"/>
      <c r="I6" s="35"/>
      <c r="J6" s="53" t="s">
        <v>36</v>
      </c>
      <c r="K6" s="147"/>
      <c r="L6" s="38"/>
      <c r="M6" s="38"/>
      <c r="N6" s="163"/>
    </row>
    <row r="7" spans="1:15" s="1" customFormat="1" ht="15" customHeight="1" x14ac:dyDescent="0.25">
      <c r="A7" s="35">
        <v>7</v>
      </c>
      <c r="B7" s="39">
        <v>45773</v>
      </c>
      <c r="C7" s="36" t="s">
        <v>44</v>
      </c>
      <c r="D7" s="37">
        <v>0.58333333333333337</v>
      </c>
      <c r="E7" s="35" t="s">
        <v>0</v>
      </c>
      <c r="F7" s="35" t="s">
        <v>11</v>
      </c>
      <c r="G7" s="35" t="s">
        <v>8</v>
      </c>
      <c r="H7" s="36"/>
      <c r="I7" s="36"/>
      <c r="J7" s="53" t="s">
        <v>67</v>
      </c>
      <c r="K7" s="147"/>
      <c r="L7" s="38"/>
      <c r="M7" s="38"/>
      <c r="N7" s="163"/>
    </row>
    <row r="8" spans="1:15" s="18" customFormat="1" ht="12.75" x14ac:dyDescent="0.2">
      <c r="A8" s="36">
        <v>9</v>
      </c>
      <c r="B8" s="39">
        <v>45787</v>
      </c>
      <c r="C8" s="42" t="s">
        <v>44</v>
      </c>
      <c r="D8" s="42" t="s">
        <v>93</v>
      </c>
      <c r="E8" s="36" t="s">
        <v>0</v>
      </c>
      <c r="F8" s="36" t="s">
        <v>8</v>
      </c>
      <c r="G8" s="36" t="s">
        <v>12</v>
      </c>
      <c r="H8" s="36"/>
      <c r="I8" s="36"/>
      <c r="J8" s="54" t="s">
        <v>94</v>
      </c>
      <c r="K8" s="147"/>
      <c r="L8" s="38"/>
      <c r="M8" s="38"/>
      <c r="N8" s="163"/>
    </row>
    <row r="9" spans="1:15" s="18" customFormat="1" ht="12.75" x14ac:dyDescent="0.2">
      <c r="A9" s="36"/>
      <c r="B9" s="39"/>
      <c r="C9" s="36"/>
      <c r="D9" s="43"/>
      <c r="E9" s="36"/>
      <c r="F9" s="36"/>
      <c r="G9" s="36"/>
      <c r="H9" s="36"/>
      <c r="I9" s="36"/>
      <c r="J9" s="53"/>
      <c r="K9" s="135">
        <f>+SUM(K3:K8)</f>
        <v>1</v>
      </c>
      <c r="L9" s="135">
        <f t="shared" ref="L9:N9" si="0">+SUM(L3:L8)</f>
        <v>1</v>
      </c>
      <c r="M9" s="135">
        <f t="shared" si="0"/>
        <v>10</v>
      </c>
      <c r="N9" s="135">
        <f t="shared" si="0"/>
        <v>12</v>
      </c>
    </row>
    <row r="10" spans="1:15" s="1" customFormat="1" ht="15" customHeight="1" x14ac:dyDescent="0.25">
      <c r="A10" s="81"/>
      <c r="B10" s="82"/>
      <c r="C10" s="85"/>
      <c r="D10" s="85"/>
      <c r="E10" s="81"/>
      <c r="F10" s="81"/>
      <c r="G10" s="81"/>
      <c r="H10" s="81"/>
      <c r="I10" s="81"/>
      <c r="J10" s="83"/>
      <c r="K10" s="85"/>
    </row>
    <row r="11" spans="1:15" s="1" customFormat="1" ht="15" customHeight="1" x14ac:dyDescent="0.25">
      <c r="A11" s="21"/>
      <c r="B11" s="6"/>
      <c r="C11" s="8"/>
      <c r="D11" s="2"/>
      <c r="E11" s="3"/>
      <c r="F11" s="3"/>
      <c r="G11" s="3"/>
      <c r="H11" s="4"/>
      <c r="I11" s="4"/>
      <c r="J11" s="3"/>
    </row>
    <row r="12" spans="1:15" s="1" customFormat="1" ht="15" customHeight="1" thickBot="1" x14ac:dyDescent="0.3">
      <c r="A12" s="236" t="s">
        <v>79</v>
      </c>
      <c r="B12" s="237"/>
      <c r="C12" s="237"/>
      <c r="D12" s="237"/>
      <c r="E12" s="237"/>
      <c r="F12" s="237"/>
      <c r="G12" s="237"/>
      <c r="H12" s="237"/>
      <c r="I12" s="237"/>
      <c r="J12" s="237"/>
      <c r="K12" s="237"/>
      <c r="L12" s="237"/>
      <c r="M12" s="237"/>
      <c r="N12" s="237"/>
    </row>
    <row r="13" spans="1:15" s="1" customFormat="1" ht="15" customHeight="1" x14ac:dyDescent="0.25">
      <c r="A13" s="29" t="s">
        <v>53</v>
      </c>
      <c r="B13" s="22" t="s">
        <v>23</v>
      </c>
      <c r="C13" s="23" t="s">
        <v>42</v>
      </c>
      <c r="D13" s="24" t="s">
        <v>24</v>
      </c>
      <c r="E13" s="24" t="s">
        <v>63</v>
      </c>
      <c r="F13" s="24" t="s">
        <v>62</v>
      </c>
      <c r="G13" s="25" t="s">
        <v>65</v>
      </c>
      <c r="H13" s="24" t="s">
        <v>66</v>
      </c>
      <c r="I13" s="24" t="s">
        <v>40</v>
      </c>
      <c r="J13" s="27" t="s">
        <v>26</v>
      </c>
      <c r="K13" s="115" t="s">
        <v>99</v>
      </c>
      <c r="L13" s="24" t="s">
        <v>100</v>
      </c>
      <c r="M13" s="24" t="s">
        <v>6</v>
      </c>
      <c r="N13" s="24" t="s">
        <v>7</v>
      </c>
    </row>
    <row r="14" spans="1:15" s="1" customFormat="1" ht="15" customHeight="1" x14ac:dyDescent="0.25">
      <c r="A14" s="142">
        <v>1</v>
      </c>
      <c r="B14" s="145">
        <v>45720</v>
      </c>
      <c r="C14" s="142" t="s">
        <v>46</v>
      </c>
      <c r="D14" s="168">
        <v>0.75</v>
      </c>
      <c r="E14" s="142" t="s">
        <v>27</v>
      </c>
      <c r="F14" s="142" t="s">
        <v>8</v>
      </c>
      <c r="G14" s="142" t="s">
        <v>14</v>
      </c>
      <c r="H14" s="142">
        <f>+Schedule!H4</f>
        <v>8</v>
      </c>
      <c r="I14" s="142">
        <f>+Schedule!I4</f>
        <v>12</v>
      </c>
      <c r="J14" s="144" t="s">
        <v>36</v>
      </c>
      <c r="K14" s="170"/>
      <c r="L14" s="159">
        <v>1</v>
      </c>
      <c r="M14" s="159">
        <f>+Table23[[#This Row],[Home Total ]]</f>
        <v>8</v>
      </c>
      <c r="N14" s="173">
        <f>+Table23[[#This Row],[Away Total]]</f>
        <v>12</v>
      </c>
      <c r="O14" s="164"/>
    </row>
    <row r="15" spans="1:15" s="1" customFormat="1" ht="15" customHeight="1" x14ac:dyDescent="0.25">
      <c r="A15" s="142">
        <v>2</v>
      </c>
      <c r="B15" s="145">
        <v>45728</v>
      </c>
      <c r="C15" s="146" t="s">
        <v>47</v>
      </c>
      <c r="D15" s="143">
        <v>0.80208333333333337</v>
      </c>
      <c r="E15" s="142" t="s">
        <v>27</v>
      </c>
      <c r="F15" s="142" t="s">
        <v>8</v>
      </c>
      <c r="G15" s="142" t="s">
        <v>9</v>
      </c>
      <c r="H15" s="142">
        <v>1</v>
      </c>
      <c r="I15" s="142">
        <v>11</v>
      </c>
      <c r="J15" s="144" t="s">
        <v>36</v>
      </c>
      <c r="K15" s="170"/>
      <c r="L15" s="159">
        <v>1</v>
      </c>
      <c r="M15" s="159">
        <v>1</v>
      </c>
      <c r="N15" s="173">
        <v>11</v>
      </c>
      <c r="O15" s="164"/>
    </row>
    <row r="16" spans="1:15" s="1" customFormat="1" ht="15" customHeight="1" x14ac:dyDescent="0.25">
      <c r="A16" s="142">
        <v>3</v>
      </c>
      <c r="B16" s="145">
        <v>45740</v>
      </c>
      <c r="C16" s="142" t="s">
        <v>45</v>
      </c>
      <c r="D16" s="168">
        <v>0.78125</v>
      </c>
      <c r="E16" s="142" t="s">
        <v>27</v>
      </c>
      <c r="F16" s="142" t="s">
        <v>10</v>
      </c>
      <c r="G16" s="142" t="s">
        <v>8</v>
      </c>
      <c r="H16" s="142">
        <v>12</v>
      </c>
      <c r="I16" s="142">
        <v>13</v>
      </c>
      <c r="J16" s="144" t="s">
        <v>30</v>
      </c>
      <c r="K16" s="170">
        <v>1</v>
      </c>
      <c r="L16" s="159"/>
      <c r="M16" s="159">
        <v>13</v>
      </c>
      <c r="N16" s="173">
        <v>12</v>
      </c>
      <c r="O16" s="164"/>
    </row>
    <row r="17" spans="1:15" s="1" customFormat="1" ht="15" customHeight="1" x14ac:dyDescent="0.25">
      <c r="A17" s="142">
        <v>3</v>
      </c>
      <c r="B17" s="145">
        <v>45742</v>
      </c>
      <c r="C17" s="142" t="s">
        <v>47</v>
      </c>
      <c r="D17" s="168">
        <v>0.75</v>
      </c>
      <c r="E17" s="142" t="s">
        <v>27</v>
      </c>
      <c r="F17" s="142" t="s">
        <v>20</v>
      </c>
      <c r="G17" s="142" t="s">
        <v>8</v>
      </c>
      <c r="H17" s="146">
        <v>4</v>
      </c>
      <c r="I17" s="146">
        <v>8</v>
      </c>
      <c r="J17" s="144" t="s">
        <v>39</v>
      </c>
      <c r="K17" s="170">
        <v>1</v>
      </c>
      <c r="L17" s="159"/>
      <c r="M17" s="159">
        <v>8</v>
      </c>
      <c r="N17" s="173">
        <v>4</v>
      </c>
      <c r="O17" s="164"/>
    </row>
    <row r="18" spans="1:15" s="1" customFormat="1" ht="15" customHeight="1" x14ac:dyDescent="0.25">
      <c r="A18" s="36">
        <v>5</v>
      </c>
      <c r="B18" s="39">
        <v>45759</v>
      </c>
      <c r="C18" s="36" t="s">
        <v>44</v>
      </c>
      <c r="D18" s="37">
        <v>0.48958333333333331</v>
      </c>
      <c r="E18" s="36" t="s">
        <v>27</v>
      </c>
      <c r="F18" s="36" t="s">
        <v>8</v>
      </c>
      <c r="G18" s="36" t="s">
        <v>21</v>
      </c>
      <c r="H18" s="36"/>
      <c r="I18" s="36"/>
      <c r="J18" s="53" t="s">
        <v>36</v>
      </c>
      <c r="K18" s="150"/>
      <c r="L18" s="95"/>
      <c r="M18" s="38"/>
      <c r="N18" s="163"/>
      <c r="O18" s="164"/>
    </row>
    <row r="19" spans="1:15" s="1" customFormat="1" ht="15" customHeight="1" x14ac:dyDescent="0.25">
      <c r="A19" s="36">
        <v>6</v>
      </c>
      <c r="B19" s="39">
        <v>45763</v>
      </c>
      <c r="C19" s="36" t="s">
        <v>47</v>
      </c>
      <c r="D19" s="37">
        <v>0.80208333333333337</v>
      </c>
      <c r="E19" s="36" t="s">
        <v>27</v>
      </c>
      <c r="F19" s="36" t="s">
        <v>8</v>
      </c>
      <c r="G19" s="36" t="s">
        <v>11</v>
      </c>
      <c r="H19" s="36"/>
      <c r="I19" s="36"/>
      <c r="J19" s="53" t="s">
        <v>36</v>
      </c>
      <c r="K19" s="148"/>
      <c r="L19" s="149"/>
      <c r="M19" s="38"/>
      <c r="N19" s="163"/>
      <c r="O19" s="164"/>
    </row>
    <row r="20" spans="1:15" s="1" customFormat="1" ht="15" customHeight="1" x14ac:dyDescent="0.25">
      <c r="A20" s="36">
        <v>7</v>
      </c>
      <c r="B20" s="39">
        <v>45770</v>
      </c>
      <c r="C20" s="36" t="s">
        <v>47</v>
      </c>
      <c r="D20" s="37" t="s">
        <v>68</v>
      </c>
      <c r="E20" s="36" t="s">
        <v>27</v>
      </c>
      <c r="F20" s="36" t="s">
        <v>16</v>
      </c>
      <c r="G20" s="36" t="s">
        <v>8</v>
      </c>
      <c r="H20" s="36"/>
      <c r="I20" s="36"/>
      <c r="J20" s="53" t="s">
        <v>37</v>
      </c>
      <c r="K20" s="147"/>
      <c r="L20" s="38"/>
      <c r="M20" s="38"/>
      <c r="N20" s="163"/>
      <c r="O20" s="164"/>
    </row>
    <row r="21" spans="1:15" s="1" customFormat="1" ht="15" customHeight="1" x14ac:dyDescent="0.25">
      <c r="A21" s="36">
        <v>8</v>
      </c>
      <c r="B21" s="39">
        <v>45776</v>
      </c>
      <c r="C21" s="36" t="s">
        <v>46</v>
      </c>
      <c r="D21" s="43">
        <v>0.78125</v>
      </c>
      <c r="E21" s="36" t="s">
        <v>27</v>
      </c>
      <c r="F21" s="36" t="s">
        <v>19</v>
      </c>
      <c r="G21" s="36" t="s">
        <v>8</v>
      </c>
      <c r="H21" s="36"/>
      <c r="I21" s="36"/>
      <c r="J21" s="53" t="s">
        <v>34</v>
      </c>
      <c r="K21" s="147"/>
      <c r="L21" s="38"/>
      <c r="M21" s="38"/>
      <c r="N21" s="163"/>
      <c r="O21" s="164"/>
    </row>
    <row r="22" spans="1:15" s="1" customFormat="1" ht="15" customHeight="1" x14ac:dyDescent="0.25">
      <c r="A22" s="36">
        <v>9</v>
      </c>
      <c r="B22" s="39">
        <v>45783</v>
      </c>
      <c r="C22" s="36" t="s">
        <v>46</v>
      </c>
      <c r="D22" s="37">
        <v>0.77083333333333337</v>
      </c>
      <c r="E22" s="36" t="s">
        <v>27</v>
      </c>
      <c r="F22" s="36" t="s">
        <v>15</v>
      </c>
      <c r="G22" s="36" t="s">
        <v>8</v>
      </c>
      <c r="H22" s="36"/>
      <c r="I22" s="36"/>
      <c r="J22" s="53" t="s">
        <v>35</v>
      </c>
      <c r="K22" s="147"/>
      <c r="L22" s="38"/>
      <c r="M22" s="38"/>
      <c r="N22" s="163"/>
      <c r="O22" s="164"/>
    </row>
    <row r="23" spans="1:15" s="1" customFormat="1" ht="15" customHeight="1" x14ac:dyDescent="0.25">
      <c r="A23" s="36">
        <v>9</v>
      </c>
      <c r="B23" s="39">
        <v>45787</v>
      </c>
      <c r="C23" s="42" t="s">
        <v>44</v>
      </c>
      <c r="D23" s="42" t="s">
        <v>93</v>
      </c>
      <c r="E23" s="36" t="s">
        <v>27</v>
      </c>
      <c r="F23" s="36" t="s">
        <v>8</v>
      </c>
      <c r="G23" s="36" t="s">
        <v>12</v>
      </c>
      <c r="H23" s="36"/>
      <c r="I23" s="36"/>
      <c r="J23" s="54" t="s">
        <v>96</v>
      </c>
      <c r="K23" s="147"/>
      <c r="L23" s="38"/>
      <c r="M23" s="38"/>
      <c r="N23" s="163"/>
      <c r="O23" s="164"/>
    </row>
    <row r="24" spans="1:15" ht="15" customHeight="1" x14ac:dyDescent="0.2">
      <c r="A24" s="36"/>
      <c r="B24" s="39"/>
      <c r="C24" s="36"/>
      <c r="D24" s="43"/>
      <c r="E24" s="36"/>
      <c r="F24" s="36"/>
      <c r="G24" s="36"/>
      <c r="H24" s="36"/>
      <c r="I24" s="36"/>
      <c r="J24" s="53"/>
      <c r="K24" s="165">
        <f t="shared" ref="K24:N24" si="1">+SUM(K14:K23)</f>
        <v>2</v>
      </c>
      <c r="L24" s="165">
        <f t="shared" si="1"/>
        <v>2</v>
      </c>
      <c r="M24" s="165">
        <f t="shared" si="1"/>
        <v>30</v>
      </c>
      <c r="N24" s="165">
        <f t="shared" si="1"/>
        <v>39</v>
      </c>
      <c r="O24" s="166"/>
    </row>
    <row r="25" spans="1:15" ht="15" customHeight="1" x14ac:dyDescent="0.2">
      <c r="K25" s="166"/>
      <c r="L25" s="166"/>
      <c r="M25" s="166"/>
      <c r="N25" s="166"/>
      <c r="O25" s="166"/>
    </row>
  </sheetData>
  <mergeCells count="2">
    <mergeCell ref="A12:N12"/>
    <mergeCell ref="A1:N1"/>
  </mergeCells>
  <dataValidations count="1">
    <dataValidation type="list" showInputMessage="1" showErrorMessage="1" sqref="E14:E24 E3:E10" xr:uid="{F6CECE6A-6FD4-49A6-9A36-3CA29358D5F5}">
      <formula1>"JV,V"</formula1>
    </dataValidation>
  </dataValidations>
  <pageMargins left="0.7" right="0.7" top="0.75" bottom="0.75" header="0" footer="0"/>
  <pageSetup scale="67" orientation="landscape" r:id="rId1"/>
  <tableParts count="2">
    <tablePart r:id="rId2"/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1:N13"/>
  <sheetViews>
    <sheetView workbookViewId="0">
      <selection activeCell="A21" sqref="A21"/>
    </sheetView>
  </sheetViews>
  <sheetFormatPr defaultColWidth="12.5703125" defaultRowHeight="15" customHeight="1" x14ac:dyDescent="0.2"/>
  <cols>
    <col min="1" max="5" width="10.7109375" customWidth="1"/>
    <col min="6" max="9" width="14.7109375" customWidth="1"/>
    <col min="10" max="10" width="62.5703125" bestFit="1" customWidth="1"/>
    <col min="11" max="11" width="9.7109375" customWidth="1"/>
    <col min="12" max="27" width="8.5703125" customWidth="1"/>
  </cols>
  <sheetData>
    <row r="1" spans="1:14" s="1" customFormat="1" ht="15" customHeight="1" thickBot="1" x14ac:dyDescent="0.3">
      <c r="A1" s="236" t="s">
        <v>80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</row>
    <row r="2" spans="1:14" s="1" customFormat="1" ht="15" customHeight="1" x14ac:dyDescent="0.25">
      <c r="A2" s="29" t="s">
        <v>53</v>
      </c>
      <c r="B2" s="22" t="s">
        <v>23</v>
      </c>
      <c r="C2" s="23" t="s">
        <v>42</v>
      </c>
      <c r="D2" s="24" t="s">
        <v>24</v>
      </c>
      <c r="E2" s="24" t="s">
        <v>63</v>
      </c>
      <c r="F2" s="24" t="s">
        <v>62</v>
      </c>
      <c r="G2" s="25" t="s">
        <v>65</v>
      </c>
      <c r="H2" s="24" t="s">
        <v>66</v>
      </c>
      <c r="I2" s="24" t="s">
        <v>40</v>
      </c>
      <c r="J2" s="26" t="s">
        <v>26</v>
      </c>
      <c r="K2" s="115" t="s">
        <v>99</v>
      </c>
      <c r="L2" s="24" t="s">
        <v>100</v>
      </c>
      <c r="M2" s="24" t="s">
        <v>6</v>
      </c>
      <c r="N2" s="24" t="s">
        <v>7</v>
      </c>
    </row>
    <row r="3" spans="1:14" s="1" customFormat="1" ht="15" customHeight="1" x14ac:dyDescent="0.25">
      <c r="A3" s="140">
        <v>1</v>
      </c>
      <c r="B3" s="145">
        <v>45722</v>
      </c>
      <c r="C3" s="146" t="s">
        <v>43</v>
      </c>
      <c r="D3" s="143">
        <v>0.75</v>
      </c>
      <c r="E3" s="140" t="s">
        <v>27</v>
      </c>
      <c r="F3" s="140" t="s">
        <v>20</v>
      </c>
      <c r="G3" s="140" t="s">
        <v>15</v>
      </c>
      <c r="H3" s="146">
        <v>2</v>
      </c>
      <c r="I3" s="140">
        <v>5</v>
      </c>
      <c r="J3" s="144" t="s">
        <v>39</v>
      </c>
      <c r="K3" s="170"/>
      <c r="L3" s="159">
        <v>1</v>
      </c>
      <c r="M3" s="159">
        <f>+Table25[[#This Row],[Home Total ]]</f>
        <v>2</v>
      </c>
      <c r="N3" s="173">
        <f>+Table25[[#This Row],[Away Total]]</f>
        <v>5</v>
      </c>
    </row>
    <row r="4" spans="1:14" s="1" customFormat="1" ht="15" customHeight="1" x14ac:dyDescent="0.25">
      <c r="A4" s="142">
        <v>1</v>
      </c>
      <c r="B4" s="141">
        <v>45723</v>
      </c>
      <c r="C4" s="146" t="s">
        <v>48</v>
      </c>
      <c r="D4" s="143">
        <v>0.80208333333333337</v>
      </c>
      <c r="E4" s="142" t="s">
        <v>27</v>
      </c>
      <c r="F4" s="142" t="s">
        <v>12</v>
      </c>
      <c r="G4" s="142" t="s">
        <v>20</v>
      </c>
      <c r="H4" s="146">
        <v>9</v>
      </c>
      <c r="I4" s="142">
        <v>4</v>
      </c>
      <c r="J4" s="144" t="s">
        <v>39</v>
      </c>
      <c r="K4" s="170"/>
      <c r="L4" s="159">
        <v>1</v>
      </c>
      <c r="M4" s="159">
        <v>4</v>
      </c>
      <c r="N4" s="173">
        <v>9</v>
      </c>
    </row>
    <row r="5" spans="1:14" s="1" customFormat="1" ht="15" customHeight="1" x14ac:dyDescent="0.25">
      <c r="A5" s="142">
        <v>2</v>
      </c>
      <c r="B5" s="141">
        <v>45729</v>
      </c>
      <c r="C5" s="146" t="s">
        <v>43</v>
      </c>
      <c r="D5" s="143">
        <v>0.75</v>
      </c>
      <c r="E5" s="142" t="s">
        <v>27</v>
      </c>
      <c r="F5" s="142" t="s">
        <v>20</v>
      </c>
      <c r="G5" s="142" t="s">
        <v>19</v>
      </c>
      <c r="H5" s="146">
        <v>4</v>
      </c>
      <c r="I5" s="142">
        <v>6</v>
      </c>
      <c r="J5" s="144" t="s">
        <v>39</v>
      </c>
      <c r="K5" s="170"/>
      <c r="L5" s="159">
        <v>1</v>
      </c>
      <c r="M5" s="159">
        <v>4</v>
      </c>
      <c r="N5" s="173">
        <v>6</v>
      </c>
    </row>
    <row r="6" spans="1:14" s="1" customFormat="1" ht="15" customHeight="1" x14ac:dyDescent="0.25">
      <c r="A6" s="142">
        <v>3</v>
      </c>
      <c r="B6" s="141">
        <v>45740</v>
      </c>
      <c r="C6" s="146" t="s">
        <v>45</v>
      </c>
      <c r="D6" s="143">
        <v>0.75</v>
      </c>
      <c r="E6" s="142" t="s">
        <v>27</v>
      </c>
      <c r="F6" s="142" t="s">
        <v>20</v>
      </c>
      <c r="G6" s="142" t="s">
        <v>16</v>
      </c>
      <c r="H6" s="146">
        <v>14</v>
      </c>
      <c r="I6" s="142">
        <v>5</v>
      </c>
      <c r="J6" s="144" t="s">
        <v>39</v>
      </c>
      <c r="K6" s="170">
        <v>1</v>
      </c>
      <c r="L6" s="159"/>
      <c r="M6" s="159">
        <v>14</v>
      </c>
      <c r="N6" s="173">
        <v>5</v>
      </c>
    </row>
    <row r="7" spans="1:14" s="1" customFormat="1" ht="15" customHeight="1" x14ac:dyDescent="0.25">
      <c r="A7" s="142">
        <v>3</v>
      </c>
      <c r="B7" s="145">
        <v>45742</v>
      </c>
      <c r="C7" s="142" t="s">
        <v>47</v>
      </c>
      <c r="D7" s="168">
        <v>0.75</v>
      </c>
      <c r="E7" s="142" t="s">
        <v>27</v>
      </c>
      <c r="F7" s="142" t="s">
        <v>20</v>
      </c>
      <c r="G7" s="142" t="s">
        <v>8</v>
      </c>
      <c r="H7" s="142">
        <v>4</v>
      </c>
      <c r="I7" s="142">
        <v>8</v>
      </c>
      <c r="J7" s="144" t="s">
        <v>39</v>
      </c>
      <c r="K7" s="170"/>
      <c r="L7" s="159">
        <v>1</v>
      </c>
      <c r="M7" s="159">
        <v>4</v>
      </c>
      <c r="N7" s="173">
        <v>8</v>
      </c>
    </row>
    <row r="8" spans="1:14" s="1" customFormat="1" ht="15" customHeight="1" x14ac:dyDescent="0.25">
      <c r="A8" s="142">
        <v>4</v>
      </c>
      <c r="B8" s="145">
        <v>45748</v>
      </c>
      <c r="C8" s="142" t="s">
        <v>46</v>
      </c>
      <c r="D8" s="143">
        <v>0.77083333333333337</v>
      </c>
      <c r="E8" s="142" t="s">
        <v>27</v>
      </c>
      <c r="F8" s="142" t="s">
        <v>14</v>
      </c>
      <c r="G8" s="142" t="s">
        <v>20</v>
      </c>
      <c r="H8" s="142">
        <v>7</v>
      </c>
      <c r="I8" s="142">
        <v>3</v>
      </c>
      <c r="J8" s="144" t="s">
        <v>33</v>
      </c>
      <c r="K8" s="170"/>
      <c r="L8" s="159">
        <v>1</v>
      </c>
      <c r="M8" s="159">
        <v>3</v>
      </c>
      <c r="N8" s="173">
        <v>7</v>
      </c>
    </row>
    <row r="9" spans="1:14" s="1" customFormat="1" ht="15" customHeight="1" x14ac:dyDescent="0.25">
      <c r="A9" s="36">
        <v>5</v>
      </c>
      <c r="B9" s="39">
        <v>45757</v>
      </c>
      <c r="C9" s="36" t="s">
        <v>43</v>
      </c>
      <c r="D9" s="37">
        <v>0.75</v>
      </c>
      <c r="E9" s="36" t="s">
        <v>27</v>
      </c>
      <c r="F9" s="36" t="s">
        <v>51</v>
      </c>
      <c r="G9" s="36" t="s">
        <v>20</v>
      </c>
      <c r="H9" s="36"/>
      <c r="I9" s="36"/>
      <c r="J9" s="53" t="s">
        <v>32</v>
      </c>
      <c r="K9" s="147"/>
      <c r="L9" s="38"/>
      <c r="M9" s="38"/>
      <c r="N9" s="163"/>
    </row>
    <row r="10" spans="1:14" s="1" customFormat="1" ht="15" customHeight="1" x14ac:dyDescent="0.25">
      <c r="A10" s="36">
        <v>6</v>
      </c>
      <c r="B10" s="39">
        <v>45762</v>
      </c>
      <c r="C10" s="36" t="s">
        <v>46</v>
      </c>
      <c r="D10" s="37">
        <v>0.75</v>
      </c>
      <c r="E10" s="36" t="s">
        <v>27</v>
      </c>
      <c r="F10" s="36" t="s">
        <v>20</v>
      </c>
      <c r="G10" s="36" t="s">
        <v>50</v>
      </c>
      <c r="H10" s="36"/>
      <c r="I10" s="36"/>
      <c r="J10" s="53" t="s">
        <v>39</v>
      </c>
      <c r="K10" s="148"/>
      <c r="L10" s="149"/>
      <c r="M10" s="38"/>
      <c r="N10" s="163"/>
    </row>
    <row r="11" spans="1:14" s="1" customFormat="1" ht="15" customHeight="1" x14ac:dyDescent="0.25">
      <c r="A11" s="36">
        <v>7</v>
      </c>
      <c r="B11" s="39">
        <v>45769</v>
      </c>
      <c r="C11" s="36" t="s">
        <v>46</v>
      </c>
      <c r="D11" s="37">
        <v>0.79166666666666663</v>
      </c>
      <c r="E11" s="36" t="s">
        <v>27</v>
      </c>
      <c r="F11" s="36" t="s">
        <v>17</v>
      </c>
      <c r="G11" s="36" t="s">
        <v>20</v>
      </c>
      <c r="H11" s="36"/>
      <c r="I11" s="36"/>
      <c r="J11" s="53" t="s">
        <v>38</v>
      </c>
      <c r="K11" s="150"/>
      <c r="L11" s="95"/>
      <c r="M11" s="38"/>
      <c r="N11" s="163"/>
    </row>
    <row r="12" spans="1:14" s="1" customFormat="1" ht="15" customHeight="1" x14ac:dyDescent="0.25">
      <c r="A12" s="36">
        <v>9</v>
      </c>
      <c r="B12" s="39">
        <v>45787</v>
      </c>
      <c r="C12" s="36" t="s">
        <v>44</v>
      </c>
      <c r="D12" s="37">
        <v>0.54166666666666663</v>
      </c>
      <c r="E12" s="36" t="s">
        <v>27</v>
      </c>
      <c r="F12" s="36" t="s">
        <v>21</v>
      </c>
      <c r="G12" s="36" t="s">
        <v>20</v>
      </c>
      <c r="H12" s="36"/>
      <c r="I12" s="36"/>
      <c r="J12" s="53" t="s">
        <v>90</v>
      </c>
      <c r="K12" s="147"/>
      <c r="L12" s="38"/>
      <c r="M12" s="38"/>
      <c r="N12" s="163"/>
    </row>
    <row r="13" spans="1:14" ht="15" customHeight="1" x14ac:dyDescent="0.2">
      <c r="A13" s="36"/>
      <c r="B13" s="39"/>
      <c r="C13" s="36"/>
      <c r="D13" s="43"/>
      <c r="E13" s="36"/>
      <c r="F13" s="36"/>
      <c r="G13" s="36"/>
      <c r="H13" s="36"/>
      <c r="I13" s="36"/>
      <c r="J13" s="53"/>
      <c r="K13" s="135">
        <f>+SUM(K3:K12)</f>
        <v>1</v>
      </c>
      <c r="L13" s="136">
        <f t="shared" ref="L13:N13" si="0">+SUM(L3:L12)</f>
        <v>5</v>
      </c>
      <c r="M13" s="133">
        <f t="shared" si="0"/>
        <v>31</v>
      </c>
      <c r="N13" s="134">
        <f t="shared" si="0"/>
        <v>40</v>
      </c>
    </row>
  </sheetData>
  <mergeCells count="1">
    <mergeCell ref="A1:N1"/>
  </mergeCells>
  <phoneticPr fontId="8" type="noConversion"/>
  <dataValidations count="1">
    <dataValidation type="list" showInputMessage="1" showErrorMessage="1" sqref="E3:E13" xr:uid="{4DEDEF90-790D-43E0-AD39-CC8AF242539B}">
      <formula1>"JV,V"</formula1>
    </dataValidation>
  </dataValidations>
  <pageMargins left="0.7" right="0.7" top="0.75" bottom="0.75" header="0" footer="0"/>
  <pageSetup scale="67" orientation="landscape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  <pageSetUpPr fitToPage="1"/>
  </sheetPr>
  <dimension ref="A1:N13"/>
  <sheetViews>
    <sheetView workbookViewId="0">
      <selection activeCell="H7" sqref="H7:I8"/>
    </sheetView>
  </sheetViews>
  <sheetFormatPr defaultColWidth="12.5703125" defaultRowHeight="15" customHeight="1" x14ac:dyDescent="0.2"/>
  <cols>
    <col min="1" max="5" width="10.7109375" customWidth="1"/>
    <col min="6" max="9" width="14.7109375" customWidth="1"/>
    <col min="10" max="10" width="62.5703125" bestFit="1" customWidth="1"/>
    <col min="11" max="14" width="9.7109375" customWidth="1"/>
    <col min="15" max="27" width="11.42578125" customWidth="1"/>
  </cols>
  <sheetData>
    <row r="1" spans="1:14" s="1" customFormat="1" ht="15" customHeight="1" x14ac:dyDescent="0.25">
      <c r="A1" s="236" t="s">
        <v>81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</row>
    <row r="2" spans="1:14" s="1" customFormat="1" ht="15" customHeight="1" x14ac:dyDescent="0.25">
      <c r="A2" s="29" t="s">
        <v>53</v>
      </c>
      <c r="B2" s="22" t="s">
        <v>23</v>
      </c>
      <c r="C2" s="23" t="s">
        <v>42</v>
      </c>
      <c r="D2" s="24" t="s">
        <v>24</v>
      </c>
      <c r="E2" s="24" t="s">
        <v>63</v>
      </c>
      <c r="F2" s="24" t="s">
        <v>62</v>
      </c>
      <c r="G2" s="25" t="s">
        <v>65</v>
      </c>
      <c r="H2" s="24" t="s">
        <v>66</v>
      </c>
      <c r="I2" s="24" t="s">
        <v>40</v>
      </c>
      <c r="J2" s="26" t="s">
        <v>26</v>
      </c>
      <c r="K2" s="30" t="s">
        <v>99</v>
      </c>
      <c r="L2" s="24" t="s">
        <v>100</v>
      </c>
      <c r="M2" s="24" t="s">
        <v>6</v>
      </c>
      <c r="N2" s="24" t="s">
        <v>7</v>
      </c>
    </row>
    <row r="3" spans="1:14" s="1" customFormat="1" ht="15" customHeight="1" x14ac:dyDescent="0.25">
      <c r="A3" s="140">
        <v>1</v>
      </c>
      <c r="B3" s="145">
        <v>45722</v>
      </c>
      <c r="C3" s="146" t="s">
        <v>43</v>
      </c>
      <c r="D3" s="168">
        <v>0.77083333333333337</v>
      </c>
      <c r="E3" s="142" t="s">
        <v>27</v>
      </c>
      <c r="F3" s="142" t="s">
        <v>14</v>
      </c>
      <c r="G3" s="142" t="s">
        <v>17</v>
      </c>
      <c r="H3" s="146">
        <v>16</v>
      </c>
      <c r="I3" s="142">
        <v>3</v>
      </c>
      <c r="J3" s="169" t="s">
        <v>33</v>
      </c>
      <c r="K3" s="170"/>
      <c r="L3" s="159">
        <v>1</v>
      </c>
      <c r="M3" s="159">
        <f>+Table26[[#This Row],[Away Total]]</f>
        <v>3</v>
      </c>
      <c r="N3" s="173">
        <f>+Table26[[#This Row],[Home Total ]]</f>
        <v>16</v>
      </c>
    </row>
    <row r="4" spans="1:14" s="1" customFormat="1" ht="15" customHeight="1" x14ac:dyDescent="0.25">
      <c r="A4" s="142">
        <v>1</v>
      </c>
      <c r="B4" s="145">
        <v>45724</v>
      </c>
      <c r="C4" s="142" t="s">
        <v>44</v>
      </c>
      <c r="D4" s="168">
        <v>0.66666666666666663</v>
      </c>
      <c r="E4" s="142" t="s">
        <v>27</v>
      </c>
      <c r="F4" s="142" t="s">
        <v>17</v>
      </c>
      <c r="G4" s="142" t="s">
        <v>21</v>
      </c>
      <c r="H4" s="142">
        <v>13</v>
      </c>
      <c r="I4" s="142">
        <v>6</v>
      </c>
      <c r="J4" s="144" t="s">
        <v>91</v>
      </c>
      <c r="K4" s="170">
        <v>1</v>
      </c>
      <c r="L4" s="159"/>
      <c r="M4" s="159">
        <v>13</v>
      </c>
      <c r="N4" s="173">
        <v>6</v>
      </c>
    </row>
    <row r="5" spans="1:14" s="1" customFormat="1" ht="15" customHeight="1" x14ac:dyDescent="0.25">
      <c r="A5" s="142">
        <v>2</v>
      </c>
      <c r="B5" s="145">
        <v>45727</v>
      </c>
      <c r="C5" s="142" t="s">
        <v>46</v>
      </c>
      <c r="D5" s="168">
        <v>0.70833333333333337</v>
      </c>
      <c r="E5" s="142" t="s">
        <v>27</v>
      </c>
      <c r="F5" s="142" t="s">
        <v>51</v>
      </c>
      <c r="G5" s="142" t="s">
        <v>17</v>
      </c>
      <c r="H5" s="146">
        <v>2</v>
      </c>
      <c r="I5" s="142">
        <v>14</v>
      </c>
      <c r="J5" s="144" t="s">
        <v>32</v>
      </c>
      <c r="K5" s="170">
        <v>1</v>
      </c>
      <c r="L5" s="159"/>
      <c r="M5" s="159">
        <v>14</v>
      </c>
      <c r="N5" s="173">
        <v>2</v>
      </c>
    </row>
    <row r="6" spans="1:14" s="1" customFormat="1" ht="15" customHeight="1" x14ac:dyDescent="0.25">
      <c r="A6" s="142">
        <v>3</v>
      </c>
      <c r="B6" s="145">
        <v>45741</v>
      </c>
      <c r="C6" s="142" t="s">
        <v>46</v>
      </c>
      <c r="D6" s="168">
        <v>0.72916666666666663</v>
      </c>
      <c r="E6" s="142" t="s">
        <v>27</v>
      </c>
      <c r="F6" s="142" t="s">
        <v>50</v>
      </c>
      <c r="G6" s="142" t="s">
        <v>17</v>
      </c>
      <c r="H6" s="142">
        <v>0</v>
      </c>
      <c r="I6" s="142">
        <v>23</v>
      </c>
      <c r="J6" s="144" t="s">
        <v>29</v>
      </c>
      <c r="K6" s="170">
        <v>1</v>
      </c>
      <c r="L6" s="159"/>
      <c r="M6" s="159">
        <v>23</v>
      </c>
      <c r="N6" s="173">
        <v>0</v>
      </c>
    </row>
    <row r="7" spans="1:14" s="1" customFormat="1" ht="15" customHeight="1" x14ac:dyDescent="0.25">
      <c r="A7" s="142">
        <v>4</v>
      </c>
      <c r="B7" s="145">
        <v>45748</v>
      </c>
      <c r="C7" s="142" t="s">
        <v>46</v>
      </c>
      <c r="D7" s="143">
        <v>0.79166666666666663</v>
      </c>
      <c r="E7" s="142" t="s">
        <v>27</v>
      </c>
      <c r="F7" s="142" t="s">
        <v>17</v>
      </c>
      <c r="G7" s="142" t="s">
        <v>15</v>
      </c>
      <c r="H7" s="146">
        <v>9</v>
      </c>
      <c r="I7" s="146">
        <v>7</v>
      </c>
      <c r="J7" s="144" t="s">
        <v>38</v>
      </c>
      <c r="K7" s="170">
        <v>1</v>
      </c>
      <c r="L7" s="159"/>
      <c r="M7" s="159">
        <v>9</v>
      </c>
      <c r="N7" s="173">
        <v>7</v>
      </c>
    </row>
    <row r="8" spans="1:14" s="1" customFormat="1" ht="15" customHeight="1" x14ac:dyDescent="0.25">
      <c r="A8" s="36">
        <v>5</v>
      </c>
      <c r="B8" s="39">
        <v>45755</v>
      </c>
      <c r="C8" s="42" t="s">
        <v>46</v>
      </c>
      <c r="D8" s="43">
        <v>0.79166666666666663</v>
      </c>
      <c r="E8" s="36" t="s">
        <v>27</v>
      </c>
      <c r="F8" s="36" t="s">
        <v>17</v>
      </c>
      <c r="G8" s="36" t="s">
        <v>11</v>
      </c>
      <c r="H8" s="36"/>
      <c r="I8" s="36"/>
      <c r="J8" s="53" t="s">
        <v>38</v>
      </c>
      <c r="K8" s="147"/>
      <c r="L8" s="38"/>
      <c r="M8" s="38"/>
      <c r="N8" s="163"/>
    </row>
    <row r="9" spans="1:14" s="1" customFormat="1" ht="15" customHeight="1" x14ac:dyDescent="0.25">
      <c r="A9" s="36">
        <v>6</v>
      </c>
      <c r="B9" s="39">
        <v>45766</v>
      </c>
      <c r="C9" s="36" t="s">
        <v>44</v>
      </c>
      <c r="D9" s="37">
        <v>0.47916666666666669</v>
      </c>
      <c r="E9" s="36" t="s">
        <v>27</v>
      </c>
      <c r="F9" s="36" t="s">
        <v>12</v>
      </c>
      <c r="G9" s="36" t="s">
        <v>17</v>
      </c>
      <c r="H9" s="42"/>
      <c r="I9" s="42"/>
      <c r="J9" s="53" t="s">
        <v>92</v>
      </c>
      <c r="K9" s="147"/>
      <c r="L9" s="38"/>
      <c r="M9" s="38"/>
      <c r="N9" s="163"/>
    </row>
    <row r="10" spans="1:14" s="1" customFormat="1" ht="15" customHeight="1" x14ac:dyDescent="0.25">
      <c r="A10" s="36">
        <v>7</v>
      </c>
      <c r="B10" s="39">
        <v>45769</v>
      </c>
      <c r="C10" s="36" t="s">
        <v>46</v>
      </c>
      <c r="D10" s="37">
        <v>0.79166666666666663</v>
      </c>
      <c r="E10" s="36" t="s">
        <v>27</v>
      </c>
      <c r="F10" s="36" t="s">
        <v>17</v>
      </c>
      <c r="G10" s="36" t="s">
        <v>20</v>
      </c>
      <c r="H10" s="36"/>
      <c r="I10" s="36"/>
      <c r="J10" s="53" t="s">
        <v>38</v>
      </c>
      <c r="K10" s="147"/>
      <c r="L10" s="38"/>
      <c r="M10" s="38"/>
      <c r="N10" s="163"/>
    </row>
    <row r="11" spans="1:14" s="1" customFormat="1" ht="15" customHeight="1" x14ac:dyDescent="0.25">
      <c r="A11" s="36">
        <v>8</v>
      </c>
      <c r="B11" s="39">
        <v>45776</v>
      </c>
      <c r="C11" s="42" t="s">
        <v>46</v>
      </c>
      <c r="D11" s="37">
        <v>0.72916666666666663</v>
      </c>
      <c r="E11" s="36" t="s">
        <v>27</v>
      </c>
      <c r="F11" s="36" t="s">
        <v>10</v>
      </c>
      <c r="G11" s="42" t="s">
        <v>17</v>
      </c>
      <c r="H11" s="42"/>
      <c r="I11" s="36"/>
      <c r="J11" s="53" t="s">
        <v>30</v>
      </c>
      <c r="K11" s="148"/>
      <c r="L11" s="149"/>
      <c r="M11" s="38"/>
      <c r="N11" s="163"/>
    </row>
    <row r="12" spans="1:14" ht="15" customHeight="1" x14ac:dyDescent="0.2">
      <c r="A12" s="36">
        <v>9</v>
      </c>
      <c r="B12" s="39">
        <v>45784</v>
      </c>
      <c r="C12" s="36" t="s">
        <v>47</v>
      </c>
      <c r="D12" s="43">
        <v>0.79166666666666663</v>
      </c>
      <c r="E12" s="36" t="s">
        <v>27</v>
      </c>
      <c r="F12" s="36" t="s">
        <v>17</v>
      </c>
      <c r="G12" s="36" t="s">
        <v>9</v>
      </c>
      <c r="H12" s="36"/>
      <c r="I12" s="36"/>
      <c r="J12" s="53" t="s">
        <v>38</v>
      </c>
      <c r="K12" s="150"/>
      <c r="L12" s="95"/>
      <c r="M12" s="38"/>
      <c r="N12" s="163"/>
    </row>
    <row r="13" spans="1:14" ht="15" customHeight="1" x14ac:dyDescent="0.2">
      <c r="A13" s="36"/>
      <c r="B13" s="39"/>
      <c r="C13" s="36"/>
      <c r="D13" s="43"/>
      <c r="E13" s="36"/>
      <c r="F13" s="36"/>
      <c r="G13" s="36"/>
      <c r="H13" s="36"/>
      <c r="I13" s="36"/>
      <c r="J13" s="53"/>
      <c r="K13" s="135">
        <f>+SUM(K3:K12)</f>
        <v>4</v>
      </c>
      <c r="L13" s="136">
        <f t="shared" ref="L13:N13" si="0">+SUM(L3:L12)</f>
        <v>1</v>
      </c>
      <c r="M13" s="133">
        <f t="shared" si="0"/>
        <v>62</v>
      </c>
      <c r="N13" s="134">
        <f t="shared" si="0"/>
        <v>31</v>
      </c>
    </row>
  </sheetData>
  <mergeCells count="1">
    <mergeCell ref="A1:N1"/>
  </mergeCells>
  <phoneticPr fontId="8" type="noConversion"/>
  <dataValidations count="1">
    <dataValidation type="list" showInputMessage="1" showErrorMessage="1" sqref="E3:E12" xr:uid="{14D86EC0-A5EC-4EF9-B4CB-5A1A17307D8F}">
      <formula1>"JV,V"</formula1>
    </dataValidation>
  </dataValidations>
  <pageMargins left="0.7" right="0.7" top="0.75" bottom="0.75" header="0" footer="0"/>
  <pageSetup scale="67" orientation="landscape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  <pageSetUpPr fitToPage="1"/>
  </sheetPr>
  <dimension ref="A1:N26"/>
  <sheetViews>
    <sheetView workbookViewId="0">
      <selection activeCell="H6" sqref="H6"/>
    </sheetView>
  </sheetViews>
  <sheetFormatPr defaultColWidth="12.5703125" defaultRowHeight="15" customHeight="1" x14ac:dyDescent="0.2"/>
  <cols>
    <col min="1" max="5" width="10.7109375" customWidth="1"/>
    <col min="6" max="9" width="14.7109375" customWidth="1"/>
    <col min="10" max="10" width="62.5703125" bestFit="1" customWidth="1"/>
    <col min="11" max="14" width="9.7109375" customWidth="1"/>
    <col min="15" max="27" width="12.42578125" customWidth="1"/>
  </cols>
  <sheetData>
    <row r="1" spans="1:14" s="1" customFormat="1" ht="15" customHeight="1" x14ac:dyDescent="0.25">
      <c r="A1" s="236" t="s">
        <v>82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</row>
    <row r="2" spans="1:14" s="1" customFormat="1" ht="14.25" customHeight="1" x14ac:dyDescent="0.25">
      <c r="A2" s="29" t="s">
        <v>53</v>
      </c>
      <c r="B2" s="22" t="s">
        <v>23</v>
      </c>
      <c r="C2" s="23" t="s">
        <v>42</v>
      </c>
      <c r="D2" s="24" t="s">
        <v>24</v>
      </c>
      <c r="E2" s="24" t="s">
        <v>63</v>
      </c>
      <c r="F2" s="24" t="s">
        <v>62</v>
      </c>
      <c r="G2" s="25" t="s">
        <v>65</v>
      </c>
      <c r="H2" s="24" t="s">
        <v>66</v>
      </c>
      <c r="I2" s="24" t="s">
        <v>40</v>
      </c>
      <c r="J2" s="26" t="s">
        <v>26</v>
      </c>
      <c r="K2" s="30" t="s">
        <v>101</v>
      </c>
      <c r="L2" s="24" t="s">
        <v>100</v>
      </c>
      <c r="M2" s="24" t="s">
        <v>6</v>
      </c>
      <c r="N2" s="24" t="s">
        <v>7</v>
      </c>
    </row>
    <row r="3" spans="1:14" s="1" customFormat="1" ht="15" customHeight="1" x14ac:dyDescent="0.25">
      <c r="A3" s="142">
        <v>4</v>
      </c>
      <c r="B3" s="145">
        <v>45750</v>
      </c>
      <c r="C3" s="146" t="s">
        <v>43</v>
      </c>
      <c r="D3" s="168">
        <v>0.72916666666666663</v>
      </c>
      <c r="E3" s="140" t="s">
        <v>0</v>
      </c>
      <c r="F3" s="140" t="s">
        <v>21</v>
      </c>
      <c r="G3" s="140" t="s">
        <v>11</v>
      </c>
      <c r="H3" s="146">
        <v>5</v>
      </c>
      <c r="I3" s="140">
        <v>7</v>
      </c>
      <c r="J3" s="144" t="s">
        <v>106</v>
      </c>
      <c r="K3" s="159">
        <v>1</v>
      </c>
      <c r="L3" s="199"/>
      <c r="M3" s="171">
        <v>7</v>
      </c>
      <c r="N3" s="172">
        <v>5</v>
      </c>
    </row>
    <row r="4" spans="1:14" s="1" customFormat="1" ht="15" customHeight="1" x14ac:dyDescent="0.25">
      <c r="A4" s="36">
        <v>5</v>
      </c>
      <c r="B4" s="39">
        <v>45757</v>
      </c>
      <c r="C4" s="46" t="s">
        <v>43</v>
      </c>
      <c r="D4" s="37">
        <v>0.75</v>
      </c>
      <c r="E4" s="35" t="s">
        <v>0</v>
      </c>
      <c r="F4" s="35" t="s">
        <v>49</v>
      </c>
      <c r="G4" s="35" t="s">
        <v>11</v>
      </c>
      <c r="H4" s="42"/>
      <c r="I4" s="35"/>
      <c r="J4" s="53" t="s">
        <v>31</v>
      </c>
      <c r="K4" s="118"/>
      <c r="L4" s="36"/>
      <c r="M4" s="112"/>
      <c r="N4" s="117"/>
    </row>
    <row r="5" spans="1:14" s="1" customFormat="1" ht="15" customHeight="1" x14ac:dyDescent="0.25">
      <c r="A5" s="35">
        <v>6</v>
      </c>
      <c r="B5" s="39">
        <v>45763</v>
      </c>
      <c r="C5" s="36" t="s">
        <v>47</v>
      </c>
      <c r="D5" s="37">
        <v>0.75</v>
      </c>
      <c r="E5" s="35" t="s">
        <v>0</v>
      </c>
      <c r="F5" s="35" t="s">
        <v>8</v>
      </c>
      <c r="G5" s="35" t="s">
        <v>11</v>
      </c>
      <c r="H5" s="35"/>
      <c r="I5" s="35"/>
      <c r="J5" s="53" t="s">
        <v>36</v>
      </c>
      <c r="K5" s="118"/>
      <c r="L5" s="36"/>
      <c r="M5" s="112"/>
      <c r="N5" s="117"/>
    </row>
    <row r="6" spans="1:14" s="1" customFormat="1" ht="15" customHeight="1" x14ac:dyDescent="0.25">
      <c r="A6" s="35">
        <v>7</v>
      </c>
      <c r="B6" s="39">
        <v>45773</v>
      </c>
      <c r="C6" s="36" t="s">
        <v>44</v>
      </c>
      <c r="D6" s="37">
        <v>0.58333333333333337</v>
      </c>
      <c r="E6" s="35" t="s">
        <v>0</v>
      </c>
      <c r="F6" s="35" t="s">
        <v>11</v>
      </c>
      <c r="G6" s="35" t="s">
        <v>8</v>
      </c>
      <c r="H6" s="36"/>
      <c r="I6" s="36"/>
      <c r="J6" s="53" t="s">
        <v>67</v>
      </c>
      <c r="K6" s="116"/>
      <c r="L6" s="40"/>
      <c r="M6" s="112"/>
      <c r="N6" s="117"/>
    </row>
    <row r="7" spans="1:14" s="1" customFormat="1" ht="15" customHeight="1" x14ac:dyDescent="0.25">
      <c r="A7" s="35">
        <v>7</v>
      </c>
      <c r="B7" s="48">
        <v>45773</v>
      </c>
      <c r="C7" s="49" t="s">
        <v>44</v>
      </c>
      <c r="D7" s="50">
        <v>0.58333333333333337</v>
      </c>
      <c r="E7" s="51" t="s">
        <v>0</v>
      </c>
      <c r="F7" s="51" t="s">
        <v>11</v>
      </c>
      <c r="G7" s="51" t="s">
        <v>21</v>
      </c>
      <c r="H7" s="51"/>
      <c r="I7" s="51"/>
      <c r="J7" s="54" t="s">
        <v>67</v>
      </c>
      <c r="K7" s="240"/>
      <c r="L7" s="113"/>
      <c r="M7" s="112"/>
      <c r="N7" s="117"/>
    </row>
    <row r="8" spans="1:14" s="1" customFormat="1" ht="15" customHeight="1" thickBot="1" x14ac:dyDescent="0.3">
      <c r="A8" s="35">
        <v>9</v>
      </c>
      <c r="B8" s="39">
        <v>45786</v>
      </c>
      <c r="C8" s="42" t="s">
        <v>48</v>
      </c>
      <c r="D8" s="37">
        <v>0.75</v>
      </c>
      <c r="E8" s="35" t="s">
        <v>0</v>
      </c>
      <c r="F8" s="35" t="s">
        <v>11</v>
      </c>
      <c r="G8" s="35" t="s">
        <v>12</v>
      </c>
      <c r="H8" s="36"/>
      <c r="I8" s="36"/>
      <c r="J8" s="53" t="s">
        <v>67</v>
      </c>
      <c r="K8" s="130"/>
      <c r="L8" s="60"/>
      <c r="M8" s="131"/>
      <c r="N8" s="132"/>
    </row>
    <row r="9" spans="1:14" s="1" customFormat="1" ht="15" customHeight="1" x14ac:dyDescent="0.25">
      <c r="A9" s="36"/>
      <c r="B9" s="39"/>
      <c r="C9" s="36"/>
      <c r="D9" s="43"/>
      <c r="E9" s="36"/>
      <c r="F9" s="36"/>
      <c r="G9" s="36"/>
      <c r="H9" s="36"/>
      <c r="I9" s="36"/>
      <c r="J9" s="53"/>
      <c r="K9" s="135">
        <f>+SUM(K3:K8)</f>
        <v>1</v>
      </c>
      <c r="L9" s="135">
        <f t="shared" ref="L9:N9" si="0">+SUM(L3:L8)</f>
        <v>0</v>
      </c>
      <c r="M9" s="135">
        <f t="shared" si="0"/>
        <v>7</v>
      </c>
      <c r="N9" s="135">
        <f t="shared" si="0"/>
        <v>5</v>
      </c>
    </row>
    <row r="10" spans="1:14" s="1" customFormat="1" ht="15" customHeight="1" x14ac:dyDescent="0.25">
      <c r="A10" s="127"/>
      <c r="B10" s="82"/>
      <c r="C10" s="85"/>
      <c r="D10" s="84"/>
      <c r="E10" s="127"/>
      <c r="F10" s="127"/>
      <c r="G10" s="127"/>
      <c r="H10" s="81"/>
      <c r="I10" s="81"/>
      <c r="J10" s="83"/>
      <c r="K10" s="61"/>
    </row>
    <row r="11" spans="1:14" s="1" customFormat="1" ht="15" customHeight="1" x14ac:dyDescent="0.25">
      <c r="A11" s="28"/>
      <c r="B11" s="6"/>
      <c r="C11" s="8"/>
      <c r="D11" s="2"/>
      <c r="E11" s="3"/>
      <c r="F11" s="3"/>
      <c r="G11" s="3"/>
      <c r="H11" s="4"/>
      <c r="I11" s="4"/>
      <c r="J11" s="3"/>
      <c r="K11" s="3"/>
    </row>
    <row r="12" spans="1:14" s="1" customFormat="1" ht="15" customHeight="1" thickBot="1" x14ac:dyDescent="0.3">
      <c r="A12" s="236" t="s">
        <v>83</v>
      </c>
      <c r="B12" s="237"/>
      <c r="C12" s="237"/>
      <c r="D12" s="237"/>
      <c r="E12" s="237"/>
      <c r="F12" s="237"/>
      <c r="G12" s="237"/>
      <c r="H12" s="237"/>
      <c r="I12" s="237"/>
      <c r="J12" s="237"/>
      <c r="K12" s="237"/>
      <c r="L12" s="237"/>
      <c r="M12" s="237"/>
      <c r="N12" s="237"/>
    </row>
    <row r="13" spans="1:14" s="1" customFormat="1" ht="15" customHeight="1" x14ac:dyDescent="0.25">
      <c r="A13" s="29" t="s">
        <v>53</v>
      </c>
      <c r="B13" s="22" t="s">
        <v>23</v>
      </c>
      <c r="C13" s="23" t="s">
        <v>42</v>
      </c>
      <c r="D13" s="24" t="s">
        <v>24</v>
      </c>
      <c r="E13" s="24" t="s">
        <v>63</v>
      </c>
      <c r="F13" s="24" t="s">
        <v>62</v>
      </c>
      <c r="G13" s="25" t="s">
        <v>65</v>
      </c>
      <c r="H13" s="24" t="s">
        <v>66</v>
      </c>
      <c r="I13" s="24" t="s">
        <v>40</v>
      </c>
      <c r="J13" s="26" t="s">
        <v>26</v>
      </c>
      <c r="K13" s="115" t="s">
        <v>99</v>
      </c>
      <c r="L13" s="32" t="s">
        <v>100</v>
      </c>
      <c r="M13" s="32" t="s">
        <v>6</v>
      </c>
      <c r="N13" s="33" t="s">
        <v>7</v>
      </c>
    </row>
    <row r="14" spans="1:14" s="1" customFormat="1" ht="15" customHeight="1" x14ac:dyDescent="0.25">
      <c r="A14" s="36">
        <v>4</v>
      </c>
      <c r="B14" s="39">
        <v>45751</v>
      </c>
      <c r="C14" s="42" t="s">
        <v>48</v>
      </c>
      <c r="D14" s="37">
        <v>0.75</v>
      </c>
      <c r="E14" s="36" t="s">
        <v>27</v>
      </c>
      <c r="F14" s="36" t="s">
        <v>11</v>
      </c>
      <c r="G14" s="36" t="s">
        <v>16</v>
      </c>
      <c r="H14" s="36"/>
      <c r="I14" s="36"/>
      <c r="J14" s="96" t="s">
        <v>37</v>
      </c>
      <c r="K14" s="116"/>
      <c r="L14" s="40"/>
      <c r="M14" s="112"/>
      <c r="N14" s="117"/>
    </row>
    <row r="15" spans="1:14" s="1" customFormat="1" x14ac:dyDescent="0.25">
      <c r="A15" s="36">
        <v>5</v>
      </c>
      <c r="B15" s="39">
        <v>45755</v>
      </c>
      <c r="C15" s="42" t="s">
        <v>46</v>
      </c>
      <c r="D15" s="37">
        <v>0.79166666666666663</v>
      </c>
      <c r="E15" s="36" t="s">
        <v>27</v>
      </c>
      <c r="F15" s="36" t="s">
        <v>17</v>
      </c>
      <c r="G15" s="36" t="s">
        <v>11</v>
      </c>
      <c r="H15" s="36"/>
      <c r="I15" s="36"/>
      <c r="J15" s="53" t="s">
        <v>38</v>
      </c>
      <c r="K15" s="118"/>
      <c r="L15" s="36"/>
      <c r="M15" s="112"/>
      <c r="N15" s="117"/>
    </row>
    <row r="16" spans="1:14" s="1" customFormat="1" x14ac:dyDescent="0.25">
      <c r="A16" s="35">
        <v>5</v>
      </c>
      <c r="B16" s="39">
        <v>45757</v>
      </c>
      <c r="C16" s="42" t="s">
        <v>43</v>
      </c>
      <c r="D16" s="37">
        <v>0.80208333333333337</v>
      </c>
      <c r="E16" s="35" t="s">
        <v>27</v>
      </c>
      <c r="F16" s="35" t="s">
        <v>9</v>
      </c>
      <c r="G16" s="35" t="s">
        <v>11</v>
      </c>
      <c r="H16" s="42"/>
      <c r="I16" s="35"/>
      <c r="J16" s="53" t="s">
        <v>31</v>
      </c>
      <c r="K16" s="118"/>
      <c r="L16" s="36"/>
      <c r="M16" s="112"/>
      <c r="N16" s="117"/>
    </row>
    <row r="17" spans="1:14" s="1" customFormat="1" x14ac:dyDescent="0.25">
      <c r="A17" s="36">
        <v>6</v>
      </c>
      <c r="B17" s="39">
        <v>45763</v>
      </c>
      <c r="C17" s="36" t="s">
        <v>47</v>
      </c>
      <c r="D17" s="37">
        <v>0.80208333333333337</v>
      </c>
      <c r="E17" s="36" t="s">
        <v>27</v>
      </c>
      <c r="F17" s="36" t="s">
        <v>8</v>
      </c>
      <c r="G17" s="36" t="s">
        <v>11</v>
      </c>
      <c r="H17" s="36"/>
      <c r="I17" s="36"/>
      <c r="J17" s="53" t="s">
        <v>36</v>
      </c>
      <c r="K17" s="116"/>
      <c r="L17" s="40"/>
      <c r="M17" s="112"/>
      <c r="N17" s="117"/>
    </row>
    <row r="18" spans="1:14" s="1" customFormat="1" x14ac:dyDescent="0.25">
      <c r="A18" s="36">
        <v>7</v>
      </c>
      <c r="B18" s="39">
        <v>45771</v>
      </c>
      <c r="C18" s="42" t="s">
        <v>43</v>
      </c>
      <c r="D18" s="37">
        <v>0.75</v>
      </c>
      <c r="E18" s="36" t="s">
        <v>27</v>
      </c>
      <c r="F18" s="36" t="s">
        <v>11</v>
      </c>
      <c r="G18" s="36" t="s">
        <v>50</v>
      </c>
      <c r="H18" s="42"/>
      <c r="I18" s="36"/>
      <c r="J18" s="53" t="s">
        <v>67</v>
      </c>
      <c r="K18" s="118"/>
      <c r="L18" s="36"/>
      <c r="M18" s="112"/>
      <c r="N18" s="117"/>
    </row>
    <row r="19" spans="1:14" s="1" customFormat="1" x14ac:dyDescent="0.25">
      <c r="A19" s="36">
        <v>7</v>
      </c>
      <c r="B19" s="39">
        <v>45773</v>
      </c>
      <c r="C19" s="36" t="s">
        <v>44</v>
      </c>
      <c r="D19" s="37">
        <v>0.52083333333333337</v>
      </c>
      <c r="E19" s="36" t="s">
        <v>27</v>
      </c>
      <c r="F19" s="36" t="s">
        <v>11</v>
      </c>
      <c r="G19" s="36" t="s">
        <v>19</v>
      </c>
      <c r="H19" s="36"/>
      <c r="I19" s="36"/>
      <c r="J19" s="53" t="s">
        <v>67</v>
      </c>
      <c r="K19" s="118"/>
      <c r="L19" s="36"/>
      <c r="M19" s="112"/>
      <c r="N19" s="117"/>
    </row>
    <row r="20" spans="1:14" s="1" customFormat="1" x14ac:dyDescent="0.25">
      <c r="A20" s="36">
        <v>7</v>
      </c>
      <c r="B20" s="39">
        <v>45773</v>
      </c>
      <c r="C20" s="38" t="s">
        <v>44</v>
      </c>
      <c r="D20" s="43">
        <v>0.70833333333333337</v>
      </c>
      <c r="E20" s="36" t="s">
        <v>27</v>
      </c>
      <c r="F20" s="42" t="s">
        <v>11</v>
      </c>
      <c r="G20" s="36" t="s">
        <v>18</v>
      </c>
      <c r="H20" s="42"/>
      <c r="I20" s="36"/>
      <c r="J20" s="53" t="s">
        <v>67</v>
      </c>
      <c r="K20" s="118"/>
      <c r="L20" s="36"/>
      <c r="M20" s="112"/>
      <c r="N20" s="117"/>
    </row>
    <row r="21" spans="1:14" s="1" customFormat="1" x14ac:dyDescent="0.25">
      <c r="A21" s="35">
        <v>8</v>
      </c>
      <c r="B21" s="39">
        <v>45776</v>
      </c>
      <c r="C21" s="42" t="s">
        <v>46</v>
      </c>
      <c r="D21" s="41">
        <v>0.80208333333333337</v>
      </c>
      <c r="E21" s="35" t="s">
        <v>27</v>
      </c>
      <c r="F21" s="35" t="s">
        <v>15</v>
      </c>
      <c r="G21" s="35" t="s">
        <v>11</v>
      </c>
      <c r="H21" s="35"/>
      <c r="I21" s="35"/>
      <c r="J21" s="53" t="s">
        <v>39</v>
      </c>
      <c r="K21" s="119"/>
      <c r="L21" s="45"/>
      <c r="M21" s="112"/>
      <c r="N21" s="117"/>
    </row>
    <row r="22" spans="1:14" s="1" customFormat="1" ht="15" customHeight="1" x14ac:dyDescent="0.25">
      <c r="A22" s="36">
        <v>8</v>
      </c>
      <c r="B22" s="39">
        <v>45780</v>
      </c>
      <c r="C22" s="42" t="s">
        <v>44</v>
      </c>
      <c r="D22" s="37">
        <v>0.5</v>
      </c>
      <c r="E22" s="36" t="s">
        <v>27</v>
      </c>
      <c r="F22" s="36" t="s">
        <v>11</v>
      </c>
      <c r="G22" s="36" t="s">
        <v>14</v>
      </c>
      <c r="H22" s="42"/>
      <c r="I22" s="36"/>
      <c r="J22" s="53" t="s">
        <v>67</v>
      </c>
      <c r="K22" s="121"/>
      <c r="L22" s="89"/>
      <c r="M22" s="112"/>
      <c r="N22" s="117"/>
    </row>
    <row r="23" spans="1:14" s="1" customFormat="1" ht="15" customHeight="1" thickBot="1" x14ac:dyDescent="0.3">
      <c r="A23" s="36">
        <v>9</v>
      </c>
      <c r="B23" s="88">
        <v>45783</v>
      </c>
      <c r="C23" s="42" t="s">
        <v>46</v>
      </c>
      <c r="D23" s="37">
        <v>0.75</v>
      </c>
      <c r="E23" s="36" t="s">
        <v>27</v>
      </c>
      <c r="F23" s="36" t="s">
        <v>10</v>
      </c>
      <c r="G23" s="36" t="s">
        <v>11</v>
      </c>
      <c r="H23" s="35"/>
      <c r="I23" s="36"/>
      <c r="J23" s="53" t="s">
        <v>30</v>
      </c>
      <c r="K23" s="130"/>
      <c r="L23" s="60"/>
      <c r="M23" s="131"/>
      <c r="N23" s="132"/>
    </row>
    <row r="24" spans="1:14" s="1" customFormat="1" ht="15" customHeight="1" x14ac:dyDescent="0.25">
      <c r="A24" s="36"/>
      <c r="B24" s="39"/>
      <c r="C24" s="36"/>
      <c r="D24" s="43"/>
      <c r="E24" s="36"/>
      <c r="F24" s="36"/>
      <c r="G24" s="36"/>
      <c r="H24" s="36"/>
      <c r="I24" s="36"/>
      <c r="J24" s="53"/>
      <c r="K24" s="135">
        <f t="shared" ref="K14:K24" si="1">+SUM(K14:K23)</f>
        <v>0</v>
      </c>
      <c r="L24" s="135">
        <f t="shared" ref="L24" si="2">+SUM(L14:L23)</f>
        <v>0</v>
      </c>
      <c r="M24" s="135">
        <f t="shared" ref="M24" si="3">+SUM(M14:M23)</f>
        <v>0</v>
      </c>
      <c r="N24" s="135">
        <f t="shared" ref="N24" si="4">+SUM(N14:N23)</f>
        <v>0</v>
      </c>
    </row>
    <row r="25" spans="1:14" s="1" customFormat="1" ht="15" customHeight="1" x14ac:dyDescent="0.25">
      <c r="A25"/>
      <c r="B25"/>
      <c r="C25"/>
      <c r="D25"/>
      <c r="E25"/>
      <c r="F25"/>
      <c r="G25"/>
      <c r="H25"/>
      <c r="I25"/>
      <c r="J25"/>
      <c r="K25"/>
    </row>
    <row r="26" spans="1:14" ht="15" customHeight="1" x14ac:dyDescent="0.25">
      <c r="L26" s="1"/>
      <c r="M26" s="1"/>
      <c r="N26" s="1"/>
    </row>
  </sheetData>
  <mergeCells count="2">
    <mergeCell ref="A1:N1"/>
    <mergeCell ref="A12:N12"/>
  </mergeCells>
  <phoneticPr fontId="8" type="noConversion"/>
  <dataValidations count="1">
    <dataValidation type="list" showInputMessage="1" showErrorMessage="1" sqref="E14:E24 E3:E10" xr:uid="{020D6CAD-1DA5-4F2E-A380-01D316688612}">
      <formula1>"JV,V"</formula1>
    </dataValidation>
  </dataValidations>
  <pageMargins left="0.7" right="0.7" top="0.75" bottom="0.75" header="0" footer="0"/>
  <pageSetup scale="67" orientation="landscape" r:id="rId1"/>
  <tableParts count="2">
    <tablePart r:id="rId2"/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  <pageSetUpPr fitToPage="1"/>
  </sheetPr>
  <dimension ref="A1:N23"/>
  <sheetViews>
    <sheetView workbookViewId="0">
      <selection activeCell="I5" sqref="I5"/>
    </sheetView>
  </sheetViews>
  <sheetFormatPr defaultColWidth="12.5703125" defaultRowHeight="15" customHeight="1" x14ac:dyDescent="0.2"/>
  <cols>
    <col min="1" max="5" width="10.7109375" customWidth="1"/>
    <col min="6" max="9" width="14.7109375" customWidth="1"/>
    <col min="10" max="10" width="61.7109375" bestFit="1" customWidth="1"/>
    <col min="11" max="14" width="9.7109375" customWidth="1"/>
  </cols>
  <sheetData>
    <row r="1" spans="1:14" s="1" customFormat="1" ht="15" customHeight="1" thickBot="1" x14ac:dyDescent="0.3">
      <c r="A1" s="236" t="s">
        <v>84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</row>
    <row r="2" spans="1:14" s="1" customFormat="1" ht="15" customHeight="1" x14ac:dyDescent="0.25">
      <c r="A2" s="29" t="s">
        <v>53</v>
      </c>
      <c r="B2" s="22" t="s">
        <v>23</v>
      </c>
      <c r="C2" s="23" t="s">
        <v>42</v>
      </c>
      <c r="D2" s="24" t="s">
        <v>24</v>
      </c>
      <c r="E2" s="24" t="s">
        <v>63</v>
      </c>
      <c r="F2" s="24" t="s">
        <v>62</v>
      </c>
      <c r="G2" s="25" t="s">
        <v>65</v>
      </c>
      <c r="H2" s="24" t="s">
        <v>66</v>
      </c>
      <c r="I2" s="24" t="s">
        <v>40</v>
      </c>
      <c r="J2" s="26" t="s">
        <v>26</v>
      </c>
      <c r="K2" s="115" t="s">
        <v>99</v>
      </c>
      <c r="L2" s="32" t="s">
        <v>100</v>
      </c>
      <c r="M2" s="32" t="s">
        <v>6</v>
      </c>
      <c r="N2" s="33" t="s">
        <v>7</v>
      </c>
    </row>
    <row r="3" spans="1:14" s="1" customFormat="1" ht="15" customHeight="1" x14ac:dyDescent="0.25">
      <c r="A3" s="35">
        <v>5</v>
      </c>
      <c r="B3" s="39">
        <v>45754</v>
      </c>
      <c r="C3" s="36" t="s">
        <v>45</v>
      </c>
      <c r="D3" s="37">
        <v>0.75</v>
      </c>
      <c r="E3" s="35" t="s">
        <v>0</v>
      </c>
      <c r="F3" s="35" t="s">
        <v>64</v>
      </c>
      <c r="G3" s="35" t="s">
        <v>12</v>
      </c>
      <c r="H3" s="35"/>
      <c r="I3" s="35"/>
      <c r="J3" s="204" t="s">
        <v>106</v>
      </c>
      <c r="K3" s="42"/>
      <c r="L3" s="42"/>
      <c r="M3" s="42"/>
      <c r="N3" s="42"/>
    </row>
    <row r="4" spans="1:14" s="20" customFormat="1" ht="12.75" x14ac:dyDescent="0.2">
      <c r="A4" s="35">
        <v>6</v>
      </c>
      <c r="B4" s="39">
        <v>45766</v>
      </c>
      <c r="C4" s="36" t="s">
        <v>44</v>
      </c>
      <c r="D4" s="41">
        <v>0.58333333333333337</v>
      </c>
      <c r="E4" s="35" t="s">
        <v>0</v>
      </c>
      <c r="F4" s="35" t="s">
        <v>12</v>
      </c>
      <c r="G4" s="35" t="s">
        <v>9</v>
      </c>
      <c r="H4" s="35"/>
      <c r="I4" s="35"/>
      <c r="J4" s="53" t="s">
        <v>92</v>
      </c>
      <c r="K4" s="95"/>
      <c r="L4" s="95"/>
      <c r="M4" s="95"/>
      <c r="N4" s="95"/>
    </row>
    <row r="5" spans="1:14" s="20" customFormat="1" ht="12.75" x14ac:dyDescent="0.2">
      <c r="A5" s="35">
        <v>7</v>
      </c>
      <c r="B5" s="39">
        <v>45769</v>
      </c>
      <c r="C5" s="42" t="s">
        <v>46</v>
      </c>
      <c r="D5" s="37">
        <v>0.75</v>
      </c>
      <c r="E5" s="36" t="s">
        <v>0</v>
      </c>
      <c r="F5" s="36" t="s">
        <v>12</v>
      </c>
      <c r="G5" s="36" t="s">
        <v>21</v>
      </c>
      <c r="H5" s="35"/>
      <c r="I5" s="35"/>
      <c r="J5" s="53" t="s">
        <v>92</v>
      </c>
      <c r="K5" s="87"/>
      <c r="L5" s="87"/>
      <c r="M5" s="87"/>
      <c r="N5" s="87"/>
    </row>
    <row r="6" spans="1:14" s="20" customFormat="1" ht="12.75" x14ac:dyDescent="0.2">
      <c r="A6" s="35">
        <v>9</v>
      </c>
      <c r="B6" s="39">
        <v>45786</v>
      </c>
      <c r="C6" s="42" t="s">
        <v>48</v>
      </c>
      <c r="D6" s="37">
        <v>0.75</v>
      </c>
      <c r="E6" s="35" t="s">
        <v>0</v>
      </c>
      <c r="F6" s="35" t="s">
        <v>11</v>
      </c>
      <c r="G6" s="35" t="s">
        <v>12</v>
      </c>
      <c r="H6" s="36"/>
      <c r="I6" s="36"/>
      <c r="J6" s="53" t="s">
        <v>67</v>
      </c>
      <c r="K6" s="40"/>
      <c r="L6" s="40"/>
      <c r="M6" s="40"/>
      <c r="N6" s="40"/>
    </row>
    <row r="7" spans="1:14" s="1" customFormat="1" ht="15" customHeight="1" x14ac:dyDescent="0.25">
      <c r="A7" s="42">
        <v>9</v>
      </c>
      <c r="B7" s="47">
        <v>45787</v>
      </c>
      <c r="C7" s="42" t="s">
        <v>44</v>
      </c>
      <c r="D7" s="46">
        <v>0.45833333333333331</v>
      </c>
      <c r="E7" s="42" t="s">
        <v>0</v>
      </c>
      <c r="F7" s="42" t="s">
        <v>49</v>
      </c>
      <c r="G7" s="42" t="s">
        <v>12</v>
      </c>
      <c r="H7" s="42"/>
      <c r="I7" s="42"/>
      <c r="J7" s="55" t="s">
        <v>31</v>
      </c>
      <c r="K7" s="42"/>
      <c r="L7" s="42"/>
      <c r="M7" s="42"/>
      <c r="N7" s="42"/>
    </row>
    <row r="8" spans="1:14" s="1" customFormat="1" ht="15" customHeight="1" x14ac:dyDescent="0.25">
      <c r="A8" s="36">
        <v>9</v>
      </c>
      <c r="B8" s="39">
        <v>45787</v>
      </c>
      <c r="C8" s="42" t="s">
        <v>44</v>
      </c>
      <c r="D8" s="42" t="s">
        <v>93</v>
      </c>
      <c r="E8" s="36" t="s">
        <v>0</v>
      </c>
      <c r="F8" s="36" t="s">
        <v>8</v>
      </c>
      <c r="G8" s="36" t="s">
        <v>12</v>
      </c>
      <c r="H8" s="36"/>
      <c r="I8" s="36"/>
      <c r="J8" s="54" t="s">
        <v>94</v>
      </c>
      <c r="K8" s="42"/>
      <c r="L8" s="42"/>
      <c r="M8" s="42"/>
      <c r="N8" s="42"/>
    </row>
    <row r="9" spans="1:14" s="1" customFormat="1" ht="15" customHeight="1" x14ac:dyDescent="0.25">
      <c r="A9" s="42"/>
      <c r="B9" s="39"/>
      <c r="C9" s="42"/>
      <c r="D9" s="43"/>
      <c r="E9" s="42"/>
      <c r="F9" s="42"/>
      <c r="G9" s="42"/>
      <c r="H9" s="42"/>
      <c r="I9" s="42"/>
      <c r="J9" s="53"/>
      <c r="K9" s="135">
        <f>+SUM(Table32[[Win ]])</f>
        <v>0</v>
      </c>
      <c r="L9" s="136">
        <f>+SUM(Table32[Loss])</f>
        <v>0</v>
      </c>
      <c r="M9" s="133">
        <f>+SUM(Table32[GF])</f>
        <v>0</v>
      </c>
      <c r="N9" s="134">
        <f>+SUM(Table32[GA])</f>
        <v>0</v>
      </c>
    </row>
    <row r="10" spans="1:14" s="1" customFormat="1" ht="15" customHeight="1" x14ac:dyDescent="0.25">
      <c r="A10" s="28"/>
      <c r="B10" s="6"/>
      <c r="C10" s="8"/>
      <c r="D10" s="2"/>
      <c r="E10" s="3"/>
      <c r="F10" s="3"/>
      <c r="G10" s="3"/>
      <c r="H10" s="4"/>
      <c r="I10" s="4"/>
      <c r="J10" s="3"/>
    </row>
    <row r="11" spans="1:14" s="1" customFormat="1" ht="15" customHeight="1" thickBot="1" x14ac:dyDescent="0.3">
      <c r="A11" s="236" t="s">
        <v>85</v>
      </c>
      <c r="B11" s="237"/>
      <c r="C11" s="237"/>
      <c r="D11" s="237"/>
      <c r="E11" s="237"/>
      <c r="F11" s="237"/>
      <c r="G11" s="237"/>
      <c r="H11" s="237"/>
      <c r="I11" s="237"/>
      <c r="J11" s="237"/>
      <c r="K11" s="237"/>
      <c r="L11" s="237"/>
      <c r="M11" s="237"/>
      <c r="N11" s="237"/>
    </row>
    <row r="12" spans="1:14" s="1" customFormat="1" ht="15" customHeight="1" x14ac:dyDescent="0.25">
      <c r="A12" s="29" t="s">
        <v>53</v>
      </c>
      <c r="B12" s="22" t="s">
        <v>23</v>
      </c>
      <c r="C12" s="23" t="s">
        <v>42</v>
      </c>
      <c r="D12" s="24" t="s">
        <v>24</v>
      </c>
      <c r="E12" s="24" t="s">
        <v>63</v>
      </c>
      <c r="F12" s="24" t="s">
        <v>62</v>
      </c>
      <c r="G12" s="25" t="s">
        <v>65</v>
      </c>
      <c r="H12" s="24" t="s">
        <v>66</v>
      </c>
      <c r="I12" s="24" t="s">
        <v>40</v>
      </c>
      <c r="J12" s="26" t="s">
        <v>26</v>
      </c>
      <c r="K12" s="115" t="s">
        <v>99</v>
      </c>
      <c r="L12" s="32" t="s">
        <v>100</v>
      </c>
      <c r="M12" s="32" t="s">
        <v>6</v>
      </c>
      <c r="N12" s="33" t="s">
        <v>7</v>
      </c>
    </row>
    <row r="13" spans="1:14" s="1" customFormat="1" ht="15" customHeight="1" x14ac:dyDescent="0.25">
      <c r="A13" s="142">
        <v>1</v>
      </c>
      <c r="B13" s="145">
        <v>45723</v>
      </c>
      <c r="C13" s="146" t="s">
        <v>48</v>
      </c>
      <c r="D13" s="143">
        <v>0.80208333333333337</v>
      </c>
      <c r="E13" s="142" t="s">
        <v>27</v>
      </c>
      <c r="F13" s="142" t="s">
        <v>12</v>
      </c>
      <c r="G13" s="142" t="s">
        <v>20</v>
      </c>
      <c r="H13" s="142">
        <v>9</v>
      </c>
      <c r="I13" s="142">
        <v>4</v>
      </c>
      <c r="J13" s="144" t="s">
        <v>39</v>
      </c>
      <c r="K13" s="170">
        <v>1</v>
      </c>
      <c r="L13" s="159"/>
      <c r="M13" s="159">
        <v>9</v>
      </c>
      <c r="N13" s="173">
        <v>4</v>
      </c>
    </row>
    <row r="14" spans="1:14" s="1" customFormat="1" ht="15" customHeight="1" x14ac:dyDescent="0.25">
      <c r="A14" s="142">
        <v>1</v>
      </c>
      <c r="B14" s="145">
        <v>45724</v>
      </c>
      <c r="C14" s="146" t="s">
        <v>44</v>
      </c>
      <c r="D14" s="143">
        <v>0.58333333333333337</v>
      </c>
      <c r="E14" s="142" t="s">
        <v>27</v>
      </c>
      <c r="F14" s="142" t="s">
        <v>50</v>
      </c>
      <c r="G14" s="142" t="s">
        <v>12</v>
      </c>
      <c r="H14" s="142">
        <v>0</v>
      </c>
      <c r="I14" s="142">
        <v>1</v>
      </c>
      <c r="J14" s="144" t="s">
        <v>30</v>
      </c>
      <c r="K14" s="170">
        <v>1</v>
      </c>
      <c r="L14" s="159"/>
      <c r="M14" s="159">
        <v>1</v>
      </c>
      <c r="N14" s="173">
        <v>0</v>
      </c>
    </row>
    <row r="15" spans="1:14" s="1" customFormat="1" ht="15" customHeight="1" x14ac:dyDescent="0.25">
      <c r="A15" s="142">
        <v>1</v>
      </c>
      <c r="B15" s="145">
        <v>45724</v>
      </c>
      <c r="C15" s="142" t="s">
        <v>44</v>
      </c>
      <c r="D15" s="143">
        <v>0.46875</v>
      </c>
      <c r="E15" s="142" t="s">
        <v>27</v>
      </c>
      <c r="F15" s="142" t="s">
        <v>12</v>
      </c>
      <c r="G15" s="142" t="s">
        <v>10</v>
      </c>
      <c r="H15" s="142">
        <v>9</v>
      </c>
      <c r="I15" s="142">
        <v>12</v>
      </c>
      <c r="J15" s="144" t="s">
        <v>30</v>
      </c>
      <c r="K15" s="170"/>
      <c r="L15" s="159">
        <v>1</v>
      </c>
      <c r="M15" s="159">
        <v>9</v>
      </c>
      <c r="N15" s="173">
        <v>12</v>
      </c>
    </row>
    <row r="16" spans="1:14" s="1" customFormat="1" ht="15" customHeight="1" x14ac:dyDescent="0.25">
      <c r="A16" s="36">
        <v>5</v>
      </c>
      <c r="B16" s="39">
        <v>45756</v>
      </c>
      <c r="C16" s="36" t="s">
        <v>47</v>
      </c>
      <c r="D16" s="37">
        <v>0.75</v>
      </c>
      <c r="E16" s="36" t="s">
        <v>27</v>
      </c>
      <c r="F16" s="36" t="s">
        <v>21</v>
      </c>
      <c r="G16" s="36" t="s">
        <v>12</v>
      </c>
      <c r="H16" s="36"/>
      <c r="I16" s="36"/>
      <c r="J16" s="53" t="s">
        <v>90</v>
      </c>
      <c r="K16" s="147"/>
      <c r="L16" s="38"/>
      <c r="M16" s="38"/>
      <c r="N16" s="163"/>
    </row>
    <row r="17" spans="1:14" s="20" customFormat="1" ht="12.75" x14ac:dyDescent="0.2">
      <c r="A17" s="35">
        <v>5</v>
      </c>
      <c r="B17" s="39">
        <v>45758</v>
      </c>
      <c r="C17" s="36" t="s">
        <v>48</v>
      </c>
      <c r="D17" s="37">
        <v>0.64583333333333337</v>
      </c>
      <c r="E17" s="36" t="s">
        <v>27</v>
      </c>
      <c r="F17" s="36" t="s">
        <v>12</v>
      </c>
      <c r="G17" s="36" t="s">
        <v>15</v>
      </c>
      <c r="H17" s="36"/>
      <c r="I17" s="36"/>
      <c r="J17" s="53" t="s">
        <v>89</v>
      </c>
      <c r="K17" s="147"/>
      <c r="L17" s="38"/>
      <c r="M17" s="38"/>
      <c r="N17" s="163"/>
    </row>
    <row r="18" spans="1:14" s="20" customFormat="1" ht="12.75" x14ac:dyDescent="0.2">
      <c r="A18" s="35">
        <v>6</v>
      </c>
      <c r="B18" s="39">
        <v>45766</v>
      </c>
      <c r="C18" s="36" t="s">
        <v>44</v>
      </c>
      <c r="D18" s="37">
        <v>0.47916666666666669</v>
      </c>
      <c r="E18" s="36" t="s">
        <v>27</v>
      </c>
      <c r="F18" s="36" t="s">
        <v>12</v>
      </c>
      <c r="G18" s="36" t="s">
        <v>17</v>
      </c>
      <c r="H18" s="36"/>
      <c r="I18" s="36"/>
      <c r="J18" s="53" t="s">
        <v>92</v>
      </c>
      <c r="K18" s="147"/>
      <c r="L18" s="38"/>
      <c r="M18" s="38"/>
      <c r="N18" s="163"/>
    </row>
    <row r="19" spans="1:14" s="1" customFormat="1" ht="15" customHeight="1" x14ac:dyDescent="0.25">
      <c r="A19" s="36">
        <v>7</v>
      </c>
      <c r="B19" s="39">
        <v>45773</v>
      </c>
      <c r="C19" s="42" t="s">
        <v>44</v>
      </c>
      <c r="D19" s="37">
        <v>0.64583333333333337</v>
      </c>
      <c r="E19" s="36" t="s">
        <v>27</v>
      </c>
      <c r="F19" s="36" t="s">
        <v>19</v>
      </c>
      <c r="G19" s="42" t="s">
        <v>12</v>
      </c>
      <c r="H19" s="42"/>
      <c r="I19" s="36"/>
      <c r="J19" s="53" t="s">
        <v>67</v>
      </c>
      <c r="K19" s="147"/>
      <c r="L19" s="38"/>
      <c r="M19" s="38"/>
      <c r="N19" s="163"/>
    </row>
    <row r="20" spans="1:14" s="1" customFormat="1" ht="15" customHeight="1" x14ac:dyDescent="0.25">
      <c r="A20" s="36">
        <v>7</v>
      </c>
      <c r="B20" s="47">
        <v>45773</v>
      </c>
      <c r="C20" s="42" t="s">
        <v>44</v>
      </c>
      <c r="D20" s="46">
        <v>0.45833333333333331</v>
      </c>
      <c r="E20" s="42" t="s">
        <v>27</v>
      </c>
      <c r="F20" s="36" t="s">
        <v>12</v>
      </c>
      <c r="G20" s="36" t="s">
        <v>18</v>
      </c>
      <c r="H20" s="42"/>
      <c r="I20" s="36"/>
      <c r="J20" s="53" t="s">
        <v>67</v>
      </c>
      <c r="K20" s="148"/>
      <c r="L20" s="149"/>
      <c r="M20" s="38"/>
      <c r="N20" s="163"/>
    </row>
    <row r="21" spans="1:14" s="1" customFormat="1" ht="15" customHeight="1" x14ac:dyDescent="0.25">
      <c r="A21" s="36">
        <v>9</v>
      </c>
      <c r="B21" s="39">
        <v>45787</v>
      </c>
      <c r="C21" s="42" t="s">
        <v>44</v>
      </c>
      <c r="D21" s="37">
        <v>0.625</v>
      </c>
      <c r="E21" s="36" t="s">
        <v>27</v>
      </c>
      <c r="F21" s="36" t="s">
        <v>14</v>
      </c>
      <c r="G21" s="36" t="s">
        <v>12</v>
      </c>
      <c r="H21" s="36"/>
      <c r="I21" s="36"/>
      <c r="J21" s="53" t="s">
        <v>33</v>
      </c>
      <c r="K21" s="150"/>
      <c r="L21" s="95"/>
      <c r="M21" s="38"/>
      <c r="N21" s="163"/>
    </row>
    <row r="22" spans="1:14" s="1" customFormat="1" ht="15" customHeight="1" thickBot="1" x14ac:dyDescent="0.3">
      <c r="A22" s="36">
        <v>9</v>
      </c>
      <c r="B22" s="39">
        <v>45787</v>
      </c>
      <c r="C22" s="42" t="s">
        <v>44</v>
      </c>
      <c r="D22" s="42" t="s">
        <v>93</v>
      </c>
      <c r="E22" s="36" t="s">
        <v>27</v>
      </c>
      <c r="F22" s="36" t="s">
        <v>8</v>
      </c>
      <c r="G22" s="36" t="s">
        <v>12</v>
      </c>
      <c r="H22" s="36"/>
      <c r="I22" s="36"/>
      <c r="J22" s="54" t="s">
        <v>96</v>
      </c>
      <c r="K22" s="175"/>
      <c r="L22" s="176"/>
      <c r="M22" s="176"/>
      <c r="N22" s="177"/>
    </row>
    <row r="23" spans="1:14" ht="15" customHeight="1" x14ac:dyDescent="0.2">
      <c r="A23" s="36"/>
      <c r="B23" s="39"/>
      <c r="C23" s="36"/>
      <c r="D23" s="43"/>
      <c r="E23" s="36"/>
      <c r="F23" s="36"/>
      <c r="G23" s="36"/>
      <c r="H23" s="36"/>
      <c r="I23" s="36"/>
      <c r="J23" s="53"/>
      <c r="K23" s="135">
        <f>+SUM(Table31[[Win ]])</f>
        <v>2</v>
      </c>
      <c r="L23" s="136">
        <f>+SUM(Table31[Loss])</f>
        <v>1</v>
      </c>
      <c r="M23" s="133">
        <f>+SUM(Table31[GF])</f>
        <v>19</v>
      </c>
      <c r="N23" s="134">
        <f>+SUM(Table31[GA])</f>
        <v>16</v>
      </c>
    </row>
  </sheetData>
  <mergeCells count="2">
    <mergeCell ref="A11:N11"/>
    <mergeCell ref="A1:N1"/>
  </mergeCells>
  <phoneticPr fontId="8" type="noConversion"/>
  <dataValidations count="1">
    <dataValidation type="list" showInputMessage="1" showErrorMessage="1" sqref="E13:E22 E3:E8" xr:uid="{B45ECB9D-92AC-4E00-A773-F96DDE501AD6}">
      <formula1>"JV,V"</formula1>
    </dataValidation>
  </dataValidations>
  <pageMargins left="0.7" right="0.7" top="0.75" bottom="0.75" header="0" footer="0"/>
  <pageSetup scale="68" orientation="landscape" r:id="rId1"/>
  <tableParts count="2">
    <tablePart r:id="rId2"/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  <pageSetUpPr fitToPage="1"/>
  </sheetPr>
  <dimension ref="A1:N13"/>
  <sheetViews>
    <sheetView workbookViewId="0">
      <selection activeCell="K13" sqref="K13:L13"/>
    </sheetView>
  </sheetViews>
  <sheetFormatPr defaultColWidth="12.5703125" defaultRowHeight="15" customHeight="1" x14ac:dyDescent="0.2"/>
  <cols>
    <col min="1" max="5" width="10.7109375" customWidth="1"/>
    <col min="6" max="9" width="14.7109375" customWidth="1"/>
    <col min="10" max="10" width="62.5703125" bestFit="1" customWidth="1"/>
    <col min="11" max="14" width="9.7109375" customWidth="1"/>
  </cols>
  <sheetData>
    <row r="1" spans="1:14" s="1" customFormat="1" ht="15" customHeight="1" x14ac:dyDescent="0.25">
      <c r="A1" s="236" t="s">
        <v>86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</row>
    <row r="2" spans="1:14" s="1" customFormat="1" ht="15" customHeight="1" x14ac:dyDescent="0.25">
      <c r="A2" s="29" t="s">
        <v>53</v>
      </c>
      <c r="B2" s="22" t="s">
        <v>23</v>
      </c>
      <c r="C2" s="23" t="s">
        <v>42</v>
      </c>
      <c r="D2" s="24" t="s">
        <v>24</v>
      </c>
      <c r="E2" s="24" t="s">
        <v>63</v>
      </c>
      <c r="F2" s="24" t="s">
        <v>62</v>
      </c>
      <c r="G2" s="25" t="s">
        <v>65</v>
      </c>
      <c r="H2" s="24" t="s">
        <v>66</v>
      </c>
      <c r="I2" s="24" t="s">
        <v>40</v>
      </c>
      <c r="J2" s="26" t="s">
        <v>26</v>
      </c>
      <c r="K2" s="30" t="s">
        <v>99</v>
      </c>
      <c r="L2" s="24" t="s">
        <v>100</v>
      </c>
      <c r="M2" s="24" t="s">
        <v>6</v>
      </c>
      <c r="N2" s="24" t="s">
        <v>7</v>
      </c>
    </row>
    <row r="3" spans="1:14" s="1" customFormat="1" ht="15" customHeight="1" x14ac:dyDescent="0.25">
      <c r="A3" s="140">
        <v>1</v>
      </c>
      <c r="B3" s="145">
        <v>45722</v>
      </c>
      <c r="C3" s="146" t="s">
        <v>43</v>
      </c>
      <c r="D3" s="168">
        <v>0.72916666666666663</v>
      </c>
      <c r="E3" s="142" t="s">
        <v>27</v>
      </c>
      <c r="F3" s="142" t="s">
        <v>16</v>
      </c>
      <c r="G3" s="142" t="s">
        <v>19</v>
      </c>
      <c r="H3" s="146">
        <v>5</v>
      </c>
      <c r="I3" s="142">
        <v>11</v>
      </c>
      <c r="J3" s="169" t="s">
        <v>37</v>
      </c>
      <c r="K3" s="170">
        <v>1</v>
      </c>
      <c r="L3" s="159"/>
      <c r="M3" s="159">
        <f>+Table27[[#This Row],[Away Total]]</f>
        <v>11</v>
      </c>
      <c r="N3" s="173">
        <f>+Table27[[#This Row],[Home Total ]]</f>
        <v>5</v>
      </c>
    </row>
    <row r="4" spans="1:14" s="1" customFormat="1" ht="15" customHeight="1" x14ac:dyDescent="0.25">
      <c r="A4" s="142">
        <v>2</v>
      </c>
      <c r="B4" s="145">
        <v>45727</v>
      </c>
      <c r="C4" s="142" t="s">
        <v>46</v>
      </c>
      <c r="D4" s="168">
        <v>0.78125</v>
      </c>
      <c r="E4" s="142" t="s">
        <v>27</v>
      </c>
      <c r="F4" s="142" t="s">
        <v>19</v>
      </c>
      <c r="G4" s="142" t="s">
        <v>14</v>
      </c>
      <c r="H4" s="142">
        <v>3</v>
      </c>
      <c r="I4" s="142">
        <v>16</v>
      </c>
      <c r="J4" s="144" t="s">
        <v>34</v>
      </c>
      <c r="K4" s="170"/>
      <c r="L4" s="159">
        <v>1</v>
      </c>
      <c r="M4" s="159">
        <v>3</v>
      </c>
      <c r="N4" s="173">
        <v>16</v>
      </c>
    </row>
    <row r="5" spans="1:14" s="1" customFormat="1" ht="15" customHeight="1" x14ac:dyDescent="0.25">
      <c r="A5" s="142">
        <v>2</v>
      </c>
      <c r="B5" s="145">
        <v>45729</v>
      </c>
      <c r="C5" s="142" t="s">
        <v>43</v>
      </c>
      <c r="D5" s="168">
        <v>0.75</v>
      </c>
      <c r="E5" s="142" t="s">
        <v>27</v>
      </c>
      <c r="F5" s="142" t="s">
        <v>20</v>
      </c>
      <c r="G5" s="142" t="s">
        <v>19</v>
      </c>
      <c r="H5" s="142">
        <v>4</v>
      </c>
      <c r="I5" s="142">
        <v>6</v>
      </c>
      <c r="J5" s="144" t="s">
        <v>39</v>
      </c>
      <c r="K5" s="170">
        <v>1</v>
      </c>
      <c r="L5" s="159"/>
      <c r="M5" s="159">
        <v>6</v>
      </c>
      <c r="N5" s="173">
        <v>4</v>
      </c>
    </row>
    <row r="6" spans="1:14" s="1" customFormat="1" ht="15" customHeight="1" x14ac:dyDescent="0.25">
      <c r="A6" s="142">
        <v>3</v>
      </c>
      <c r="B6" s="145">
        <v>45741</v>
      </c>
      <c r="C6" s="142" t="s">
        <v>46</v>
      </c>
      <c r="D6" s="168">
        <v>0.78125</v>
      </c>
      <c r="E6" s="142" t="s">
        <v>27</v>
      </c>
      <c r="F6" s="142" t="s">
        <v>19</v>
      </c>
      <c r="G6" s="142" t="s">
        <v>10</v>
      </c>
      <c r="H6" s="142">
        <v>16</v>
      </c>
      <c r="I6" s="142">
        <v>5</v>
      </c>
      <c r="J6" s="144" t="s">
        <v>34</v>
      </c>
      <c r="K6" s="170">
        <v>1</v>
      </c>
      <c r="L6" s="159"/>
      <c r="M6" s="159">
        <v>16</v>
      </c>
      <c r="N6" s="173">
        <v>5</v>
      </c>
    </row>
    <row r="7" spans="1:14" s="1" customFormat="1" ht="15" customHeight="1" x14ac:dyDescent="0.25">
      <c r="A7" s="142">
        <v>4</v>
      </c>
      <c r="B7" s="145">
        <v>45750</v>
      </c>
      <c r="C7" s="142" t="s">
        <v>43</v>
      </c>
      <c r="D7" s="143">
        <v>0.75</v>
      </c>
      <c r="E7" s="142" t="s">
        <v>27</v>
      </c>
      <c r="F7" s="142" t="s">
        <v>9</v>
      </c>
      <c r="G7" s="142" t="s">
        <v>19</v>
      </c>
      <c r="H7" s="142">
        <v>14</v>
      </c>
      <c r="I7" s="142">
        <v>2</v>
      </c>
      <c r="J7" s="144" t="s">
        <v>31</v>
      </c>
      <c r="K7" s="170"/>
      <c r="L7" s="159">
        <v>1</v>
      </c>
      <c r="M7" s="159">
        <v>2</v>
      </c>
      <c r="N7" s="173">
        <v>14</v>
      </c>
    </row>
    <row r="8" spans="1:14" s="1" customFormat="1" ht="15" customHeight="1" x14ac:dyDescent="0.25">
      <c r="A8" s="36">
        <v>6</v>
      </c>
      <c r="B8" s="39">
        <v>45761</v>
      </c>
      <c r="C8" s="42" t="s">
        <v>45</v>
      </c>
      <c r="D8" s="43">
        <v>0.78125</v>
      </c>
      <c r="E8" s="36" t="s">
        <v>27</v>
      </c>
      <c r="F8" s="36" t="s">
        <v>19</v>
      </c>
      <c r="G8" s="36" t="s">
        <v>18</v>
      </c>
      <c r="H8" s="36"/>
      <c r="I8" s="36"/>
      <c r="J8" s="53" t="s">
        <v>34</v>
      </c>
      <c r="K8" s="147"/>
      <c r="L8" s="38"/>
      <c r="M8" s="38"/>
      <c r="N8" s="163"/>
    </row>
    <row r="9" spans="1:14" s="1" customFormat="1" ht="15" customHeight="1" x14ac:dyDescent="0.25">
      <c r="A9" s="36">
        <v>7</v>
      </c>
      <c r="B9" s="39">
        <v>45770</v>
      </c>
      <c r="C9" s="36" t="s">
        <v>47</v>
      </c>
      <c r="D9" s="37">
        <v>0.72916666666666663</v>
      </c>
      <c r="E9" s="36" t="s">
        <v>27</v>
      </c>
      <c r="F9" s="36" t="s">
        <v>15</v>
      </c>
      <c r="G9" s="36" t="s">
        <v>19</v>
      </c>
      <c r="H9" s="36"/>
      <c r="I9" s="36"/>
      <c r="J9" s="53" t="s">
        <v>35</v>
      </c>
      <c r="K9" s="147"/>
      <c r="L9" s="38"/>
      <c r="M9" s="38"/>
      <c r="N9" s="163"/>
    </row>
    <row r="10" spans="1:14" s="1" customFormat="1" ht="15" customHeight="1" x14ac:dyDescent="0.25">
      <c r="A10" s="36">
        <v>7</v>
      </c>
      <c r="B10" s="39">
        <v>45773</v>
      </c>
      <c r="C10" s="36" t="s">
        <v>44</v>
      </c>
      <c r="D10" s="37">
        <v>0.52083333333333337</v>
      </c>
      <c r="E10" s="36" t="s">
        <v>27</v>
      </c>
      <c r="F10" s="36" t="s">
        <v>11</v>
      </c>
      <c r="G10" s="36" t="s">
        <v>19</v>
      </c>
      <c r="H10" s="36"/>
      <c r="I10" s="36"/>
      <c r="J10" s="53" t="s">
        <v>67</v>
      </c>
      <c r="K10" s="147"/>
      <c r="L10" s="38"/>
      <c r="M10" s="38"/>
      <c r="N10" s="163"/>
    </row>
    <row r="11" spans="1:14" s="1" customFormat="1" ht="15" customHeight="1" x14ac:dyDescent="0.25">
      <c r="A11" s="36">
        <v>7</v>
      </c>
      <c r="B11" s="39">
        <v>45773</v>
      </c>
      <c r="C11" s="42" t="s">
        <v>44</v>
      </c>
      <c r="D11" s="37">
        <v>0.64583333333333337</v>
      </c>
      <c r="E11" s="36" t="s">
        <v>27</v>
      </c>
      <c r="F11" s="36" t="s">
        <v>19</v>
      </c>
      <c r="G11" s="42" t="s">
        <v>12</v>
      </c>
      <c r="H11" s="42"/>
      <c r="I11" s="36"/>
      <c r="J11" s="53" t="s">
        <v>67</v>
      </c>
      <c r="K11" s="148"/>
      <c r="L11" s="149"/>
      <c r="M11" s="38"/>
      <c r="N11" s="163"/>
    </row>
    <row r="12" spans="1:14" s="1" customFormat="1" ht="15" customHeight="1" x14ac:dyDescent="0.25">
      <c r="A12" s="36">
        <v>8</v>
      </c>
      <c r="B12" s="39">
        <v>45776</v>
      </c>
      <c r="C12" s="36" t="s">
        <v>46</v>
      </c>
      <c r="D12" s="43">
        <v>0.78125</v>
      </c>
      <c r="E12" s="36" t="s">
        <v>27</v>
      </c>
      <c r="F12" s="36" t="s">
        <v>19</v>
      </c>
      <c r="G12" s="36" t="s">
        <v>8</v>
      </c>
      <c r="H12" s="36"/>
      <c r="I12" s="36"/>
      <c r="J12" s="53" t="s">
        <v>34</v>
      </c>
      <c r="K12" s="150"/>
      <c r="L12" s="95"/>
      <c r="M12" s="38"/>
      <c r="N12" s="163"/>
    </row>
    <row r="13" spans="1:14" s="1" customFormat="1" ht="15" customHeight="1" x14ac:dyDescent="0.25">
      <c r="A13" s="36"/>
      <c r="B13" s="39"/>
      <c r="C13" s="36"/>
      <c r="D13" s="43"/>
      <c r="E13" s="36"/>
      <c r="F13" s="36"/>
      <c r="G13" s="36"/>
      <c r="H13" s="36"/>
      <c r="I13" s="36"/>
      <c r="J13" s="53"/>
      <c r="K13" s="135">
        <f>+SUM(K3:K12)</f>
        <v>3</v>
      </c>
      <c r="L13" s="135">
        <f t="shared" ref="L13:N13" si="0">+SUM(L3:L12)</f>
        <v>2</v>
      </c>
      <c r="M13" s="135">
        <f t="shared" si="0"/>
        <v>38</v>
      </c>
      <c r="N13" s="135">
        <f t="shared" si="0"/>
        <v>44</v>
      </c>
    </row>
  </sheetData>
  <mergeCells count="1">
    <mergeCell ref="A1:N1"/>
  </mergeCells>
  <phoneticPr fontId="8" type="noConversion"/>
  <dataValidations count="1">
    <dataValidation type="list" showInputMessage="1" showErrorMessage="1" sqref="E3:E13" xr:uid="{988B65DF-A36C-468B-9460-5951FD2BFEB6}">
      <formula1>"JV,V"</formula1>
    </dataValidation>
  </dataValidations>
  <pageMargins left="0.7" right="0.7" top="0.75" bottom="0.75" header="0" footer="0"/>
  <pageSetup scale="67" orientation="landscape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  <pageSetUpPr fitToPage="1"/>
  </sheetPr>
  <dimension ref="A1:N13"/>
  <sheetViews>
    <sheetView topLeftCell="B1" workbookViewId="0">
      <selection activeCell="C25" sqref="C25"/>
    </sheetView>
  </sheetViews>
  <sheetFormatPr defaultColWidth="12.5703125" defaultRowHeight="15" customHeight="1" x14ac:dyDescent="0.2"/>
  <cols>
    <col min="1" max="5" width="10.7109375" customWidth="1"/>
    <col min="6" max="9" width="14.7109375" customWidth="1"/>
    <col min="10" max="10" width="62.5703125" bestFit="1" customWidth="1"/>
    <col min="11" max="14" width="9.7109375" customWidth="1"/>
  </cols>
  <sheetData>
    <row r="1" spans="1:14" s="1" customFormat="1" ht="15" customHeight="1" thickBot="1" x14ac:dyDescent="0.3">
      <c r="A1" s="236" t="s">
        <v>87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</row>
    <row r="2" spans="1:14" s="1" customFormat="1" ht="15" customHeight="1" x14ac:dyDescent="0.25">
      <c r="A2" s="29" t="s">
        <v>53</v>
      </c>
      <c r="B2" s="22" t="s">
        <v>23</v>
      </c>
      <c r="C2" s="23" t="s">
        <v>42</v>
      </c>
      <c r="D2" s="24" t="s">
        <v>24</v>
      </c>
      <c r="E2" s="24" t="s">
        <v>63</v>
      </c>
      <c r="F2" s="24" t="s">
        <v>62</v>
      </c>
      <c r="G2" s="25" t="s">
        <v>65</v>
      </c>
      <c r="H2" s="24" t="s">
        <v>66</v>
      </c>
      <c r="I2" s="24" t="s">
        <v>40</v>
      </c>
      <c r="J2" s="26" t="s">
        <v>26</v>
      </c>
      <c r="K2" s="115" t="s">
        <v>99</v>
      </c>
      <c r="L2" s="24" t="s">
        <v>100</v>
      </c>
      <c r="M2" s="24" t="s">
        <v>6</v>
      </c>
      <c r="N2" s="24" t="s">
        <v>7</v>
      </c>
    </row>
    <row r="3" spans="1:14" s="1" customFormat="1" ht="15" customHeight="1" x14ac:dyDescent="0.25">
      <c r="A3" s="140">
        <v>1</v>
      </c>
      <c r="B3" s="145">
        <v>45722</v>
      </c>
      <c r="C3" s="146" t="s">
        <v>43</v>
      </c>
      <c r="D3" s="168">
        <v>0.72916666666666663</v>
      </c>
      <c r="E3" s="142" t="s">
        <v>27</v>
      </c>
      <c r="F3" s="142" t="s">
        <v>16</v>
      </c>
      <c r="G3" s="142" t="s">
        <v>19</v>
      </c>
      <c r="H3" s="146">
        <v>5</v>
      </c>
      <c r="I3" s="142">
        <v>11</v>
      </c>
      <c r="J3" s="169" t="s">
        <v>37</v>
      </c>
      <c r="K3" s="170"/>
      <c r="L3" s="159">
        <v>1</v>
      </c>
      <c r="M3" s="159">
        <v>5</v>
      </c>
      <c r="N3" s="173">
        <v>11</v>
      </c>
    </row>
    <row r="4" spans="1:14" s="1" customFormat="1" ht="15" customHeight="1" x14ac:dyDescent="0.25">
      <c r="A4" s="142">
        <v>2</v>
      </c>
      <c r="B4" s="145">
        <v>45727</v>
      </c>
      <c r="C4" s="142" t="s">
        <v>46</v>
      </c>
      <c r="D4" s="143">
        <v>0.72916666666666663</v>
      </c>
      <c r="E4" s="142" t="s">
        <v>27</v>
      </c>
      <c r="F4" s="142" t="s">
        <v>10</v>
      </c>
      <c r="G4" s="142" t="s">
        <v>16</v>
      </c>
      <c r="H4" s="142">
        <v>20</v>
      </c>
      <c r="I4" s="142">
        <v>10</v>
      </c>
      <c r="J4" s="144" t="s">
        <v>30</v>
      </c>
      <c r="K4" s="170"/>
      <c r="L4" s="159">
        <v>1</v>
      </c>
      <c r="M4" s="159">
        <v>10</v>
      </c>
      <c r="N4" s="173">
        <v>20</v>
      </c>
    </row>
    <row r="5" spans="1:14" s="1" customFormat="1" ht="15" customHeight="1" x14ac:dyDescent="0.25">
      <c r="A5" s="142">
        <v>3</v>
      </c>
      <c r="B5" s="141">
        <v>45740</v>
      </c>
      <c r="C5" s="146" t="s">
        <v>45</v>
      </c>
      <c r="D5" s="143">
        <v>0.75</v>
      </c>
      <c r="E5" s="142" t="s">
        <v>27</v>
      </c>
      <c r="F5" s="142" t="s">
        <v>20</v>
      </c>
      <c r="G5" s="142" t="s">
        <v>16</v>
      </c>
      <c r="H5" s="146">
        <v>14</v>
      </c>
      <c r="I5" s="142">
        <v>5</v>
      </c>
      <c r="J5" s="144" t="s">
        <v>39</v>
      </c>
      <c r="K5" s="170"/>
      <c r="L5" s="159">
        <v>1</v>
      </c>
      <c r="M5" s="159">
        <v>5</v>
      </c>
      <c r="N5" s="173">
        <v>14</v>
      </c>
    </row>
    <row r="6" spans="1:14" s="1" customFormat="1" ht="15" customHeight="1" x14ac:dyDescent="0.25">
      <c r="A6" s="36">
        <v>3</v>
      </c>
      <c r="B6" s="145">
        <v>45743</v>
      </c>
      <c r="C6" s="142" t="s">
        <v>43</v>
      </c>
      <c r="D6" s="168">
        <v>0.77083333333333337</v>
      </c>
      <c r="E6" s="142" t="s">
        <v>27</v>
      </c>
      <c r="F6" s="142" t="s">
        <v>9</v>
      </c>
      <c r="G6" s="142" t="s">
        <v>16</v>
      </c>
      <c r="H6" s="142">
        <v>15</v>
      </c>
      <c r="I6" s="142">
        <v>3</v>
      </c>
      <c r="J6" s="144" t="s">
        <v>31</v>
      </c>
      <c r="K6" s="170"/>
      <c r="L6" s="159">
        <v>1</v>
      </c>
      <c r="M6" s="159">
        <v>3</v>
      </c>
      <c r="N6" s="173">
        <v>15</v>
      </c>
    </row>
    <row r="7" spans="1:14" s="1" customFormat="1" ht="15" customHeight="1" x14ac:dyDescent="0.25">
      <c r="A7" s="36">
        <v>4</v>
      </c>
      <c r="B7" s="39">
        <v>45751</v>
      </c>
      <c r="C7" s="42" t="s">
        <v>48</v>
      </c>
      <c r="D7" s="37">
        <v>0.75</v>
      </c>
      <c r="E7" s="36" t="s">
        <v>27</v>
      </c>
      <c r="F7" s="36" t="s">
        <v>11</v>
      </c>
      <c r="G7" s="36" t="s">
        <v>16</v>
      </c>
      <c r="H7" s="36"/>
      <c r="I7" s="36"/>
      <c r="J7" s="96" t="s">
        <v>37</v>
      </c>
      <c r="K7" s="147"/>
      <c r="L7" s="38"/>
      <c r="M7" s="38"/>
      <c r="N7" s="163"/>
    </row>
    <row r="8" spans="1:14" s="1" customFormat="1" ht="15" customHeight="1" x14ac:dyDescent="0.25">
      <c r="A8" s="36">
        <v>5</v>
      </c>
      <c r="B8" s="39">
        <v>45755</v>
      </c>
      <c r="C8" s="36" t="s">
        <v>46</v>
      </c>
      <c r="D8" s="37">
        <v>0.72916666666666663</v>
      </c>
      <c r="E8" s="36" t="s">
        <v>27</v>
      </c>
      <c r="F8" s="36" t="s">
        <v>15</v>
      </c>
      <c r="G8" s="36" t="s">
        <v>16</v>
      </c>
      <c r="H8" s="36"/>
      <c r="I8" s="36"/>
      <c r="J8" s="53" t="s">
        <v>35</v>
      </c>
      <c r="K8" s="147"/>
      <c r="L8" s="38"/>
      <c r="M8" s="38"/>
      <c r="N8" s="163"/>
    </row>
    <row r="9" spans="1:14" s="1" customFormat="1" ht="15" customHeight="1" x14ac:dyDescent="0.25">
      <c r="A9" s="36">
        <v>6</v>
      </c>
      <c r="B9" s="39">
        <v>45764</v>
      </c>
      <c r="C9" s="36" t="s">
        <v>43</v>
      </c>
      <c r="D9" s="37">
        <v>0.77083333333333337</v>
      </c>
      <c r="E9" s="36" t="s">
        <v>27</v>
      </c>
      <c r="F9" s="36" t="s">
        <v>16</v>
      </c>
      <c r="G9" s="36" t="s">
        <v>50</v>
      </c>
      <c r="H9" s="36"/>
      <c r="I9" s="36"/>
      <c r="J9" s="53" t="s">
        <v>37</v>
      </c>
      <c r="K9" s="147"/>
      <c r="L9" s="38"/>
      <c r="M9" s="38"/>
      <c r="N9" s="163"/>
    </row>
    <row r="10" spans="1:14" s="1" customFormat="1" ht="15" customHeight="1" x14ac:dyDescent="0.25">
      <c r="A10" s="36">
        <v>7</v>
      </c>
      <c r="B10" s="39">
        <v>45770</v>
      </c>
      <c r="C10" s="36" t="s">
        <v>47</v>
      </c>
      <c r="D10" s="37" t="s">
        <v>68</v>
      </c>
      <c r="E10" s="36" t="s">
        <v>27</v>
      </c>
      <c r="F10" s="36" t="s">
        <v>16</v>
      </c>
      <c r="G10" s="36" t="s">
        <v>8</v>
      </c>
      <c r="H10" s="36"/>
      <c r="I10" s="36"/>
      <c r="J10" s="53" t="s">
        <v>37</v>
      </c>
      <c r="K10" s="148"/>
      <c r="L10" s="149"/>
      <c r="M10" s="38"/>
      <c r="N10" s="163"/>
    </row>
    <row r="11" spans="1:14" s="1" customFormat="1" ht="15" customHeight="1" x14ac:dyDescent="0.25">
      <c r="A11" s="36">
        <v>8</v>
      </c>
      <c r="B11" s="39">
        <v>45779</v>
      </c>
      <c r="C11" s="36" t="s">
        <v>48</v>
      </c>
      <c r="D11" s="37">
        <v>0.75</v>
      </c>
      <c r="E11" s="36" t="s">
        <v>27</v>
      </c>
      <c r="F11" s="36" t="s">
        <v>16</v>
      </c>
      <c r="G11" s="36" t="s">
        <v>14</v>
      </c>
      <c r="H11" s="36"/>
      <c r="I11" s="36"/>
      <c r="J11" s="53" t="s">
        <v>37</v>
      </c>
      <c r="K11" s="150"/>
      <c r="L11" s="95"/>
      <c r="M11" s="38"/>
      <c r="N11" s="163"/>
    </row>
    <row r="12" spans="1:14" s="1" customFormat="1" ht="15" customHeight="1" x14ac:dyDescent="0.25">
      <c r="A12" s="36">
        <v>9</v>
      </c>
      <c r="B12" s="39">
        <v>45785</v>
      </c>
      <c r="C12" s="36" t="s">
        <v>43</v>
      </c>
      <c r="D12" s="37">
        <v>0.77083333333333337</v>
      </c>
      <c r="E12" s="36" t="s">
        <v>27</v>
      </c>
      <c r="F12" s="36" t="s">
        <v>16</v>
      </c>
      <c r="G12" s="36" t="s">
        <v>18</v>
      </c>
      <c r="H12" s="36"/>
      <c r="I12" s="36"/>
      <c r="J12" s="53" t="s">
        <v>37</v>
      </c>
      <c r="K12" s="147"/>
      <c r="L12" s="38"/>
      <c r="M12" s="38"/>
      <c r="N12" s="163"/>
    </row>
    <row r="13" spans="1:14" s="1" customFormat="1" ht="15" customHeight="1" x14ac:dyDescent="0.25">
      <c r="A13" s="36"/>
      <c r="B13" s="39"/>
      <c r="C13" s="36"/>
      <c r="D13" s="43"/>
      <c r="E13" s="36"/>
      <c r="F13" s="36"/>
      <c r="G13" s="36"/>
      <c r="H13" s="36"/>
      <c r="I13" s="36"/>
      <c r="J13" s="53"/>
      <c r="K13" s="135">
        <f t="shared" ref="K13:N13" si="0">+SUM(K3:K12)</f>
        <v>0</v>
      </c>
      <c r="L13" s="136">
        <f t="shared" si="0"/>
        <v>4</v>
      </c>
      <c r="M13" s="133">
        <f t="shared" si="0"/>
        <v>23</v>
      </c>
      <c r="N13" s="134">
        <f t="shared" si="0"/>
        <v>60</v>
      </c>
    </row>
  </sheetData>
  <mergeCells count="1">
    <mergeCell ref="A1:N1"/>
  </mergeCells>
  <phoneticPr fontId="8" type="noConversion"/>
  <dataValidations count="1">
    <dataValidation type="list" showInputMessage="1" showErrorMessage="1" sqref="E3:E13" xr:uid="{05974328-86EE-462A-A7D0-FFAC906E7880}">
      <formula1>"JV,V"</formula1>
    </dataValidation>
  </dataValidations>
  <pageMargins left="0.7" right="0.7" top="0.75" bottom="0.75" header="0" footer="0"/>
  <pageSetup scale="67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71926-1A6E-48A7-B91E-20044FD827E6}">
  <sheetPr>
    <tabColor rgb="FF92D050"/>
    <pageSetUpPr fitToPage="1"/>
  </sheetPr>
  <dimension ref="A1:K195"/>
  <sheetViews>
    <sheetView view="pageBreakPreview" zoomScaleNormal="100" zoomScaleSheetLayoutView="100" workbookViewId="0">
      <pane ySplit="1" topLeftCell="A2" activePane="bottomLeft" state="frozen"/>
      <selection activeCell="J20" sqref="J20"/>
      <selection pane="bottomLeft" activeCell="C40" sqref="C40"/>
    </sheetView>
  </sheetViews>
  <sheetFormatPr defaultColWidth="9.140625" defaultRowHeight="12.75" x14ac:dyDescent="0.2"/>
  <cols>
    <col min="1" max="2" width="12.7109375" style="16" customWidth="1"/>
    <col min="3" max="5" width="12.7109375" style="15" customWidth="1"/>
    <col min="6" max="7" width="20.7109375" style="15" customWidth="1"/>
    <col min="8" max="9" width="12.7109375" style="15" customWidth="1"/>
    <col min="10" max="10" width="60.7109375" style="15" customWidth="1"/>
    <col min="11" max="11" width="37.5703125" style="17" bestFit="1" customWidth="1"/>
    <col min="12" max="16384" width="9.140625" style="15"/>
  </cols>
  <sheetData>
    <row r="1" spans="1:11" x14ac:dyDescent="0.2">
      <c r="A1" s="19" t="s">
        <v>61</v>
      </c>
      <c r="B1" s="14" t="s">
        <v>23</v>
      </c>
      <c r="C1" s="19" t="s">
        <v>42</v>
      </c>
      <c r="D1" s="14" t="s">
        <v>24</v>
      </c>
      <c r="E1" s="19" t="s">
        <v>63</v>
      </c>
      <c r="F1" s="19" t="s">
        <v>62</v>
      </c>
      <c r="G1" s="14" t="s">
        <v>25</v>
      </c>
      <c r="H1" s="19" t="s">
        <v>41</v>
      </c>
      <c r="I1" s="14" t="s">
        <v>40</v>
      </c>
      <c r="J1" s="52" t="s">
        <v>26</v>
      </c>
      <c r="K1" s="14" t="s">
        <v>28</v>
      </c>
    </row>
    <row r="2" spans="1:11" s="14" customFormat="1" x14ac:dyDescent="0.2">
      <c r="A2" s="140">
        <v>1</v>
      </c>
      <c r="B2" s="141">
        <v>45720</v>
      </c>
      <c r="C2" s="142" t="s">
        <v>46</v>
      </c>
      <c r="D2" s="143">
        <v>0.72916666666666663</v>
      </c>
      <c r="E2" s="142" t="s">
        <v>27</v>
      </c>
      <c r="F2" s="142" t="s">
        <v>51</v>
      </c>
      <c r="G2" s="142" t="s">
        <v>50</v>
      </c>
      <c r="H2" s="142">
        <v>12</v>
      </c>
      <c r="I2" s="142">
        <v>5</v>
      </c>
      <c r="J2" s="144" t="s">
        <v>32</v>
      </c>
      <c r="K2" s="159" t="s">
        <v>102</v>
      </c>
    </row>
    <row r="3" spans="1:11" s="14" customFormat="1" x14ac:dyDescent="0.2">
      <c r="A3" s="140">
        <v>1</v>
      </c>
      <c r="B3" s="141">
        <v>45720</v>
      </c>
      <c r="C3" s="142" t="s">
        <v>46</v>
      </c>
      <c r="D3" s="143">
        <v>0.75</v>
      </c>
      <c r="E3" s="142" t="s">
        <v>27</v>
      </c>
      <c r="F3" s="142" t="s">
        <v>15</v>
      </c>
      <c r="G3" s="142" t="s">
        <v>9</v>
      </c>
      <c r="H3" s="146">
        <v>3</v>
      </c>
      <c r="I3" s="146">
        <v>17</v>
      </c>
      <c r="J3" s="144" t="s">
        <v>35</v>
      </c>
      <c r="K3" s="159" t="s">
        <v>102</v>
      </c>
    </row>
    <row r="4" spans="1:11" s="14" customFormat="1" x14ac:dyDescent="0.2">
      <c r="A4" s="140">
        <v>1</v>
      </c>
      <c r="B4" s="145">
        <v>45720</v>
      </c>
      <c r="C4" s="142" t="s">
        <v>46</v>
      </c>
      <c r="D4" s="143">
        <v>0.75</v>
      </c>
      <c r="E4" s="142" t="s">
        <v>27</v>
      </c>
      <c r="F4" s="142" t="s">
        <v>8</v>
      </c>
      <c r="G4" s="142" t="s">
        <v>14</v>
      </c>
      <c r="H4" s="142">
        <v>8</v>
      </c>
      <c r="I4" s="142">
        <v>12</v>
      </c>
      <c r="J4" s="144" t="s">
        <v>36</v>
      </c>
      <c r="K4" s="159" t="s">
        <v>102</v>
      </c>
    </row>
    <row r="5" spans="1:11" s="14" customFormat="1" x14ac:dyDescent="0.2">
      <c r="A5" s="142">
        <v>1</v>
      </c>
      <c r="B5" s="145">
        <v>45722</v>
      </c>
      <c r="C5" s="142" t="s">
        <v>43</v>
      </c>
      <c r="D5" s="167">
        <v>0.77083333333333337</v>
      </c>
      <c r="E5" s="142" t="s">
        <v>27</v>
      </c>
      <c r="F5" s="142" t="s">
        <v>14</v>
      </c>
      <c r="G5" s="142" t="s">
        <v>17</v>
      </c>
      <c r="H5" s="142">
        <v>16</v>
      </c>
      <c r="I5" s="142">
        <v>3</v>
      </c>
      <c r="J5" s="144" t="s">
        <v>33</v>
      </c>
      <c r="K5" s="159" t="s">
        <v>102</v>
      </c>
    </row>
    <row r="6" spans="1:11" s="14" customFormat="1" x14ac:dyDescent="0.2">
      <c r="A6" s="140">
        <v>1</v>
      </c>
      <c r="B6" s="145">
        <v>45722</v>
      </c>
      <c r="C6" s="146" t="s">
        <v>43</v>
      </c>
      <c r="D6" s="143">
        <v>0.75</v>
      </c>
      <c r="E6" s="140" t="s">
        <v>27</v>
      </c>
      <c r="F6" s="140" t="s">
        <v>20</v>
      </c>
      <c r="G6" s="140" t="s">
        <v>15</v>
      </c>
      <c r="H6" s="146">
        <v>2</v>
      </c>
      <c r="I6" s="140">
        <v>5</v>
      </c>
      <c r="J6" s="144" t="s">
        <v>39</v>
      </c>
      <c r="K6" s="159" t="s">
        <v>102</v>
      </c>
    </row>
    <row r="7" spans="1:11" s="14" customFormat="1" x14ac:dyDescent="0.2">
      <c r="A7" s="140">
        <v>1</v>
      </c>
      <c r="B7" s="145">
        <v>45722</v>
      </c>
      <c r="C7" s="146" t="s">
        <v>43</v>
      </c>
      <c r="D7" s="168">
        <v>0.72916666666666663</v>
      </c>
      <c r="E7" s="142" t="s">
        <v>27</v>
      </c>
      <c r="F7" s="142" t="s">
        <v>16</v>
      </c>
      <c r="G7" s="142" t="s">
        <v>19</v>
      </c>
      <c r="H7" s="146">
        <v>6</v>
      </c>
      <c r="I7" s="142">
        <v>11</v>
      </c>
      <c r="J7" s="169" t="s">
        <v>97</v>
      </c>
      <c r="K7" s="159" t="s">
        <v>102</v>
      </c>
    </row>
    <row r="8" spans="1:11" s="14" customFormat="1" x14ac:dyDescent="0.2">
      <c r="A8" s="142">
        <v>1</v>
      </c>
      <c r="B8" s="145">
        <v>45723</v>
      </c>
      <c r="C8" s="146" t="s">
        <v>48</v>
      </c>
      <c r="D8" s="143">
        <v>0.80208333333333337</v>
      </c>
      <c r="E8" s="142" t="s">
        <v>27</v>
      </c>
      <c r="F8" s="142" t="s">
        <v>12</v>
      </c>
      <c r="G8" s="142" t="s">
        <v>20</v>
      </c>
      <c r="H8" s="142">
        <v>9</v>
      </c>
      <c r="I8" s="146">
        <v>4</v>
      </c>
      <c r="J8" s="144" t="s">
        <v>39</v>
      </c>
      <c r="K8" s="159" t="s">
        <v>102</v>
      </c>
    </row>
    <row r="9" spans="1:11" s="14" customFormat="1" x14ac:dyDescent="0.2">
      <c r="A9" s="142">
        <v>1</v>
      </c>
      <c r="B9" s="145">
        <v>45724</v>
      </c>
      <c r="C9" s="142" t="s">
        <v>44</v>
      </c>
      <c r="D9" s="143">
        <v>0.46875</v>
      </c>
      <c r="E9" s="142" t="s">
        <v>27</v>
      </c>
      <c r="F9" s="142" t="s">
        <v>12</v>
      </c>
      <c r="G9" s="142" t="s">
        <v>10</v>
      </c>
      <c r="H9" s="142">
        <v>9</v>
      </c>
      <c r="I9" s="142">
        <v>12</v>
      </c>
      <c r="J9" s="144" t="s">
        <v>30</v>
      </c>
      <c r="K9" s="159" t="s">
        <v>102</v>
      </c>
    </row>
    <row r="10" spans="1:11" s="14" customFormat="1" x14ac:dyDescent="0.2">
      <c r="A10" s="142">
        <v>1</v>
      </c>
      <c r="B10" s="145">
        <v>45724</v>
      </c>
      <c r="C10" s="142" t="s">
        <v>44</v>
      </c>
      <c r="D10" s="143">
        <v>0.54166666666666663</v>
      </c>
      <c r="E10" s="142" t="s">
        <v>0</v>
      </c>
      <c r="F10" s="142" t="s">
        <v>49</v>
      </c>
      <c r="G10" s="142" t="s">
        <v>21</v>
      </c>
      <c r="H10" s="142">
        <v>10</v>
      </c>
      <c r="I10" s="142">
        <v>4</v>
      </c>
      <c r="J10" s="144" t="s">
        <v>31</v>
      </c>
      <c r="K10" s="159" t="s">
        <v>102</v>
      </c>
    </row>
    <row r="11" spans="1:11" s="14" customFormat="1" x14ac:dyDescent="0.2">
      <c r="A11" s="142">
        <v>1</v>
      </c>
      <c r="B11" s="145">
        <v>45724</v>
      </c>
      <c r="C11" s="146" t="s">
        <v>44</v>
      </c>
      <c r="D11" s="143">
        <v>0.58333333333333337</v>
      </c>
      <c r="E11" s="142" t="s">
        <v>27</v>
      </c>
      <c r="F11" s="142" t="s">
        <v>50</v>
      </c>
      <c r="G11" s="142" t="s">
        <v>12</v>
      </c>
      <c r="H11" s="142">
        <v>0</v>
      </c>
      <c r="I11" s="142">
        <v>1</v>
      </c>
      <c r="J11" s="144" t="s">
        <v>29</v>
      </c>
      <c r="K11" s="159" t="s">
        <v>104</v>
      </c>
    </row>
    <row r="12" spans="1:11" s="14" customFormat="1" ht="13.5" thickBot="1" x14ac:dyDescent="0.25">
      <c r="A12" s="189">
        <v>1</v>
      </c>
      <c r="B12" s="190">
        <v>45724</v>
      </c>
      <c r="C12" s="191" t="s">
        <v>44</v>
      </c>
      <c r="D12" s="192">
        <v>0.66666666666666663</v>
      </c>
      <c r="E12" s="193" t="s">
        <v>27</v>
      </c>
      <c r="F12" s="193" t="s">
        <v>17</v>
      </c>
      <c r="G12" s="193" t="s">
        <v>21</v>
      </c>
      <c r="H12" s="193">
        <v>13</v>
      </c>
      <c r="I12" s="193">
        <v>6</v>
      </c>
      <c r="J12" s="194" t="s">
        <v>91</v>
      </c>
      <c r="K12" s="195" t="s">
        <v>102</v>
      </c>
    </row>
    <row r="13" spans="1:11" s="14" customFormat="1" x14ac:dyDescent="0.2">
      <c r="A13" s="142">
        <v>2</v>
      </c>
      <c r="B13" s="145">
        <v>45727</v>
      </c>
      <c r="C13" s="142" t="s">
        <v>46</v>
      </c>
      <c r="D13" s="143">
        <v>0.72916666666666663</v>
      </c>
      <c r="E13" s="142" t="s">
        <v>27</v>
      </c>
      <c r="F13" s="142" t="s">
        <v>10</v>
      </c>
      <c r="G13" s="142" t="s">
        <v>16</v>
      </c>
      <c r="H13" s="142">
        <v>20</v>
      </c>
      <c r="I13" s="142">
        <v>10</v>
      </c>
      <c r="J13" s="144" t="s">
        <v>30</v>
      </c>
      <c r="K13" s="159" t="s">
        <v>102</v>
      </c>
    </row>
    <row r="14" spans="1:11" s="14" customFormat="1" x14ac:dyDescent="0.2">
      <c r="A14" s="142">
        <v>2</v>
      </c>
      <c r="B14" s="145">
        <v>45727</v>
      </c>
      <c r="C14" s="142" t="s">
        <v>46</v>
      </c>
      <c r="D14" s="143">
        <v>0.70833333333333337</v>
      </c>
      <c r="E14" s="142" t="s">
        <v>27</v>
      </c>
      <c r="F14" s="142" t="s">
        <v>51</v>
      </c>
      <c r="G14" s="142" t="s">
        <v>17</v>
      </c>
      <c r="H14" s="142">
        <v>2</v>
      </c>
      <c r="I14" s="142">
        <v>14</v>
      </c>
      <c r="J14" s="144" t="s">
        <v>32</v>
      </c>
      <c r="K14" s="159" t="s">
        <v>102</v>
      </c>
    </row>
    <row r="15" spans="1:11" s="14" customFormat="1" x14ac:dyDescent="0.2">
      <c r="A15" s="142">
        <v>2</v>
      </c>
      <c r="B15" s="145">
        <v>45727</v>
      </c>
      <c r="C15" s="146" t="s">
        <v>46</v>
      </c>
      <c r="D15" s="143">
        <v>0.78125</v>
      </c>
      <c r="E15" s="142" t="s">
        <v>27</v>
      </c>
      <c r="F15" s="142" t="s">
        <v>19</v>
      </c>
      <c r="G15" s="142" t="s">
        <v>14</v>
      </c>
      <c r="H15" s="199">
        <v>3</v>
      </c>
      <c r="I15" s="142">
        <v>16</v>
      </c>
      <c r="J15" s="144" t="s">
        <v>34</v>
      </c>
      <c r="K15" s="159" t="s">
        <v>102</v>
      </c>
    </row>
    <row r="16" spans="1:11" s="14" customFormat="1" x14ac:dyDescent="0.2">
      <c r="A16" s="142">
        <v>2</v>
      </c>
      <c r="B16" s="145">
        <v>45728</v>
      </c>
      <c r="C16" s="146" t="s">
        <v>47</v>
      </c>
      <c r="D16" s="167">
        <v>0.75</v>
      </c>
      <c r="E16" s="140" t="s">
        <v>0</v>
      </c>
      <c r="F16" s="140" t="s">
        <v>8</v>
      </c>
      <c r="G16" s="140" t="s">
        <v>9</v>
      </c>
      <c r="H16" s="140">
        <v>4</v>
      </c>
      <c r="I16" s="140">
        <v>7</v>
      </c>
      <c r="J16" s="144" t="s">
        <v>36</v>
      </c>
      <c r="K16" s="159" t="s">
        <v>102</v>
      </c>
    </row>
    <row r="17" spans="1:11" s="14" customFormat="1" x14ac:dyDescent="0.2">
      <c r="A17" s="142">
        <v>2</v>
      </c>
      <c r="B17" s="145">
        <v>45728</v>
      </c>
      <c r="C17" s="146" t="s">
        <v>47</v>
      </c>
      <c r="D17" s="143">
        <v>0.80208333333333337</v>
      </c>
      <c r="E17" s="142" t="s">
        <v>27</v>
      </c>
      <c r="F17" s="142" t="s">
        <v>8</v>
      </c>
      <c r="G17" s="142" t="s">
        <v>9</v>
      </c>
      <c r="H17" s="142">
        <v>1</v>
      </c>
      <c r="I17" s="142">
        <v>11</v>
      </c>
      <c r="J17" s="144" t="s">
        <v>36</v>
      </c>
      <c r="K17" s="159" t="s">
        <v>102</v>
      </c>
    </row>
    <row r="18" spans="1:11" s="14" customFormat="1" ht="13.5" thickBot="1" x14ac:dyDescent="0.25">
      <c r="A18" s="193">
        <v>2</v>
      </c>
      <c r="B18" s="190">
        <v>45729</v>
      </c>
      <c r="C18" s="193" t="s">
        <v>43</v>
      </c>
      <c r="D18" s="209">
        <v>0.75</v>
      </c>
      <c r="E18" s="193" t="s">
        <v>27</v>
      </c>
      <c r="F18" s="193" t="s">
        <v>20</v>
      </c>
      <c r="G18" s="193" t="s">
        <v>19</v>
      </c>
      <c r="H18" s="193">
        <v>4</v>
      </c>
      <c r="I18" s="193">
        <v>6</v>
      </c>
      <c r="J18" s="194" t="s">
        <v>39</v>
      </c>
      <c r="K18" s="210" t="s">
        <v>102</v>
      </c>
    </row>
    <row r="19" spans="1:11" s="14" customFormat="1" x14ac:dyDescent="0.2">
      <c r="A19" s="142">
        <v>3</v>
      </c>
      <c r="B19" s="145">
        <v>45740</v>
      </c>
      <c r="C19" s="142" t="s">
        <v>45</v>
      </c>
      <c r="D19" s="168">
        <v>0.78125</v>
      </c>
      <c r="E19" s="142" t="s">
        <v>27</v>
      </c>
      <c r="F19" s="142" t="s">
        <v>10</v>
      </c>
      <c r="G19" s="142" t="s">
        <v>8</v>
      </c>
      <c r="H19" s="142">
        <v>12</v>
      </c>
      <c r="I19" s="142">
        <v>13</v>
      </c>
      <c r="J19" s="144" t="s">
        <v>30</v>
      </c>
      <c r="K19" s="159" t="s">
        <v>102</v>
      </c>
    </row>
    <row r="20" spans="1:11" s="14" customFormat="1" x14ac:dyDescent="0.2">
      <c r="A20" s="142">
        <v>3</v>
      </c>
      <c r="B20" s="141">
        <v>45740</v>
      </c>
      <c r="C20" s="146" t="s">
        <v>45</v>
      </c>
      <c r="D20" s="143">
        <v>0.75</v>
      </c>
      <c r="E20" s="142" t="s">
        <v>27</v>
      </c>
      <c r="F20" s="142" t="s">
        <v>20</v>
      </c>
      <c r="G20" s="142" t="s">
        <v>16</v>
      </c>
      <c r="H20" s="146">
        <v>14</v>
      </c>
      <c r="I20" s="142">
        <v>5</v>
      </c>
      <c r="J20" s="144" t="s">
        <v>39</v>
      </c>
      <c r="K20" s="159" t="s">
        <v>102</v>
      </c>
    </row>
    <row r="21" spans="1:11" s="14" customFormat="1" x14ac:dyDescent="0.2">
      <c r="A21" s="142">
        <v>3</v>
      </c>
      <c r="B21" s="145">
        <v>45741</v>
      </c>
      <c r="C21" s="142" t="s">
        <v>46</v>
      </c>
      <c r="D21" s="168">
        <v>0.78125</v>
      </c>
      <c r="E21" s="142" t="s">
        <v>27</v>
      </c>
      <c r="F21" s="142" t="s">
        <v>19</v>
      </c>
      <c r="G21" s="142" t="s">
        <v>10</v>
      </c>
      <c r="H21" s="142">
        <v>16</v>
      </c>
      <c r="I21" s="142">
        <v>5</v>
      </c>
      <c r="J21" s="144" t="s">
        <v>34</v>
      </c>
      <c r="K21" s="159" t="s">
        <v>102</v>
      </c>
    </row>
    <row r="22" spans="1:11" s="14" customFormat="1" x14ac:dyDescent="0.2">
      <c r="A22" s="142">
        <v>3</v>
      </c>
      <c r="B22" s="145">
        <v>45741</v>
      </c>
      <c r="C22" s="142" t="s">
        <v>46</v>
      </c>
      <c r="D22" s="168">
        <v>0.72916666666666663</v>
      </c>
      <c r="E22" s="142" t="s">
        <v>27</v>
      </c>
      <c r="F22" s="142" t="s">
        <v>50</v>
      </c>
      <c r="G22" s="142" t="s">
        <v>17</v>
      </c>
      <c r="H22" s="142">
        <v>0</v>
      </c>
      <c r="I22" s="142">
        <v>23</v>
      </c>
      <c r="J22" s="144" t="s">
        <v>29</v>
      </c>
      <c r="K22" s="159" t="s">
        <v>102</v>
      </c>
    </row>
    <row r="23" spans="1:11" s="14" customFormat="1" x14ac:dyDescent="0.2">
      <c r="A23" s="142">
        <v>3</v>
      </c>
      <c r="B23" s="145">
        <v>45742</v>
      </c>
      <c r="C23" s="142" t="s">
        <v>47</v>
      </c>
      <c r="D23" s="168">
        <v>0.75</v>
      </c>
      <c r="E23" s="142" t="s">
        <v>27</v>
      </c>
      <c r="F23" s="142" t="s">
        <v>20</v>
      </c>
      <c r="G23" s="142" t="s">
        <v>8</v>
      </c>
      <c r="H23" s="142">
        <v>4</v>
      </c>
      <c r="I23" s="142">
        <v>8</v>
      </c>
      <c r="J23" s="144" t="s">
        <v>39</v>
      </c>
      <c r="K23" s="159" t="s">
        <v>102</v>
      </c>
    </row>
    <row r="24" spans="1:11" s="14" customFormat="1" x14ac:dyDescent="0.2">
      <c r="A24" s="142">
        <v>3</v>
      </c>
      <c r="B24" s="145">
        <v>45743</v>
      </c>
      <c r="C24" s="142" t="s">
        <v>43</v>
      </c>
      <c r="D24" s="168">
        <v>0.77083333333333337</v>
      </c>
      <c r="E24" s="142" t="s">
        <v>27</v>
      </c>
      <c r="F24" s="142" t="s">
        <v>9</v>
      </c>
      <c r="G24" s="142" t="s">
        <v>16</v>
      </c>
      <c r="H24" s="142">
        <v>15</v>
      </c>
      <c r="I24" s="142">
        <v>3</v>
      </c>
      <c r="J24" s="144" t="s">
        <v>31</v>
      </c>
      <c r="K24" s="159" t="s">
        <v>102</v>
      </c>
    </row>
    <row r="25" spans="1:11" s="14" customFormat="1" ht="13.5" thickBot="1" x14ac:dyDescent="0.25">
      <c r="A25" s="193">
        <v>3</v>
      </c>
      <c r="B25" s="190">
        <v>45745</v>
      </c>
      <c r="C25" s="193" t="s">
        <v>44</v>
      </c>
      <c r="D25" s="209">
        <v>0.58333333333333337</v>
      </c>
      <c r="E25" s="189" t="s">
        <v>0</v>
      </c>
      <c r="F25" s="189" t="s">
        <v>21</v>
      </c>
      <c r="G25" s="189" t="s">
        <v>8</v>
      </c>
      <c r="H25" s="189">
        <v>5</v>
      </c>
      <c r="I25" s="189">
        <v>6</v>
      </c>
      <c r="J25" s="194" t="s">
        <v>106</v>
      </c>
      <c r="K25" s="210" t="s">
        <v>102</v>
      </c>
    </row>
    <row r="26" spans="1:11" s="14" customFormat="1" x14ac:dyDescent="0.2">
      <c r="A26" s="142">
        <v>4</v>
      </c>
      <c r="B26" s="145">
        <v>45748</v>
      </c>
      <c r="C26" s="142" t="s">
        <v>46</v>
      </c>
      <c r="D26" s="143">
        <v>0.77083333333333337</v>
      </c>
      <c r="E26" s="142" t="s">
        <v>27</v>
      </c>
      <c r="F26" s="142" t="s">
        <v>14</v>
      </c>
      <c r="G26" s="142" t="s">
        <v>20</v>
      </c>
      <c r="H26" s="142">
        <v>7</v>
      </c>
      <c r="I26" s="142">
        <v>3</v>
      </c>
      <c r="J26" s="144" t="s">
        <v>33</v>
      </c>
      <c r="K26" s="159" t="s">
        <v>102</v>
      </c>
    </row>
    <row r="27" spans="1:11" s="14" customFormat="1" x14ac:dyDescent="0.2">
      <c r="A27" s="142">
        <v>4</v>
      </c>
      <c r="B27" s="145">
        <v>45748</v>
      </c>
      <c r="C27" s="142" t="s">
        <v>46</v>
      </c>
      <c r="D27" s="143">
        <v>0.79166666666666663</v>
      </c>
      <c r="E27" s="142" t="s">
        <v>27</v>
      </c>
      <c r="F27" s="142" t="s">
        <v>17</v>
      </c>
      <c r="G27" s="142" t="s">
        <v>15</v>
      </c>
      <c r="H27" s="142">
        <v>9</v>
      </c>
      <c r="I27" s="142">
        <v>7</v>
      </c>
      <c r="J27" s="144" t="s">
        <v>38</v>
      </c>
      <c r="K27" s="159" t="s">
        <v>102</v>
      </c>
    </row>
    <row r="28" spans="1:11" s="14" customFormat="1" x14ac:dyDescent="0.2">
      <c r="A28" s="142">
        <v>4</v>
      </c>
      <c r="B28" s="145">
        <v>45750</v>
      </c>
      <c r="C28" s="142" t="s">
        <v>43</v>
      </c>
      <c r="D28" s="143">
        <v>0.77083333333333337</v>
      </c>
      <c r="E28" s="142" t="s">
        <v>27</v>
      </c>
      <c r="F28" s="142" t="s">
        <v>9</v>
      </c>
      <c r="G28" s="142" t="s">
        <v>19</v>
      </c>
      <c r="H28" s="142">
        <v>14</v>
      </c>
      <c r="I28" s="142">
        <v>2</v>
      </c>
      <c r="J28" s="144" t="s">
        <v>31</v>
      </c>
      <c r="K28" s="238" t="s">
        <v>114</v>
      </c>
    </row>
    <row r="29" spans="1:11" s="14" customFormat="1" x14ac:dyDescent="0.2">
      <c r="A29" s="142">
        <v>4</v>
      </c>
      <c r="B29" s="145">
        <v>45750</v>
      </c>
      <c r="C29" s="142" t="s">
        <v>43</v>
      </c>
      <c r="D29" s="143">
        <v>0.72916666666666663</v>
      </c>
      <c r="E29" s="142" t="s">
        <v>0</v>
      </c>
      <c r="F29" s="142" t="s">
        <v>21</v>
      </c>
      <c r="G29" s="142" t="s">
        <v>11</v>
      </c>
      <c r="H29" s="142">
        <v>5</v>
      </c>
      <c r="I29" s="142">
        <v>7</v>
      </c>
      <c r="J29" s="144" t="s">
        <v>106</v>
      </c>
      <c r="K29" s="238" t="s">
        <v>108</v>
      </c>
    </row>
    <row r="30" spans="1:11" s="14" customFormat="1" x14ac:dyDescent="0.2">
      <c r="A30" s="36">
        <v>4</v>
      </c>
      <c r="B30" s="39">
        <v>45751</v>
      </c>
      <c r="C30" s="36" t="s">
        <v>48</v>
      </c>
      <c r="D30" s="37">
        <v>0.75</v>
      </c>
      <c r="E30" s="36" t="s">
        <v>27</v>
      </c>
      <c r="F30" s="36" t="s">
        <v>11</v>
      </c>
      <c r="G30" s="36" t="s">
        <v>16</v>
      </c>
      <c r="H30" s="36"/>
      <c r="I30" s="36"/>
      <c r="J30" s="53" t="s">
        <v>97</v>
      </c>
      <c r="K30" s="90"/>
    </row>
    <row r="31" spans="1:11" s="14" customFormat="1" x14ac:dyDescent="0.2">
      <c r="A31" s="36">
        <v>4</v>
      </c>
      <c r="B31" s="39">
        <v>45752</v>
      </c>
      <c r="C31" s="36" t="s">
        <v>44</v>
      </c>
      <c r="D31" s="37">
        <v>0.625</v>
      </c>
      <c r="E31" s="36" t="s">
        <v>27</v>
      </c>
      <c r="F31" s="36" t="s">
        <v>51</v>
      </c>
      <c r="G31" s="36" t="s">
        <v>21</v>
      </c>
      <c r="H31" s="36"/>
      <c r="I31" s="36"/>
      <c r="J31" s="53" t="s">
        <v>32</v>
      </c>
      <c r="K31" s="90"/>
    </row>
    <row r="32" spans="1:11" s="14" customFormat="1" ht="13.5" thickBot="1" x14ac:dyDescent="0.25">
      <c r="A32" s="56">
        <v>4</v>
      </c>
      <c r="B32" s="57">
        <v>45752</v>
      </c>
      <c r="C32" s="56" t="s">
        <v>44</v>
      </c>
      <c r="D32" s="59">
        <v>0.52083333333333337</v>
      </c>
      <c r="E32" s="56" t="s">
        <v>27</v>
      </c>
      <c r="F32" s="56" t="s">
        <v>50</v>
      </c>
      <c r="G32" s="56" t="s">
        <v>21</v>
      </c>
      <c r="H32" s="56"/>
      <c r="I32" s="56"/>
      <c r="J32" s="58" t="s">
        <v>29</v>
      </c>
      <c r="K32" s="137"/>
    </row>
    <row r="33" spans="1:11" s="14" customFormat="1" x14ac:dyDescent="0.2">
      <c r="A33" s="36">
        <v>5</v>
      </c>
      <c r="B33" s="201">
        <v>45755</v>
      </c>
      <c r="C33" s="222" t="s">
        <v>46</v>
      </c>
      <c r="D33" s="203">
        <v>0.6875</v>
      </c>
      <c r="E33" s="36" t="s">
        <v>0</v>
      </c>
      <c r="F33" s="200" t="s">
        <v>64</v>
      </c>
      <c r="G33" s="200" t="s">
        <v>12</v>
      </c>
      <c r="H33" s="36"/>
      <c r="I33" s="36"/>
      <c r="J33" s="204" t="s">
        <v>106</v>
      </c>
      <c r="K33" s="211" t="s">
        <v>111</v>
      </c>
    </row>
    <row r="34" spans="1:11" s="14" customFormat="1" x14ac:dyDescent="0.2">
      <c r="A34" s="36">
        <v>5</v>
      </c>
      <c r="B34" s="201">
        <v>45755</v>
      </c>
      <c r="C34" s="222" t="s">
        <v>46</v>
      </c>
      <c r="D34" s="203">
        <v>0.75</v>
      </c>
      <c r="E34" s="36" t="s">
        <v>27</v>
      </c>
      <c r="F34" s="200" t="s">
        <v>21</v>
      </c>
      <c r="G34" s="200" t="s">
        <v>12</v>
      </c>
      <c r="H34" s="36"/>
      <c r="I34" s="36"/>
      <c r="J34" s="204" t="s">
        <v>106</v>
      </c>
      <c r="K34" s="211" t="s">
        <v>111</v>
      </c>
    </row>
    <row r="35" spans="1:11" s="14" customFormat="1" x14ac:dyDescent="0.2">
      <c r="A35" s="36">
        <v>5</v>
      </c>
      <c r="B35" s="39">
        <v>45755</v>
      </c>
      <c r="C35" s="36" t="s">
        <v>46</v>
      </c>
      <c r="D35" s="50">
        <v>0.75</v>
      </c>
      <c r="E35" s="36" t="s">
        <v>0</v>
      </c>
      <c r="F35" s="36" t="s">
        <v>9</v>
      </c>
      <c r="G35" s="36" t="s">
        <v>8</v>
      </c>
      <c r="H35" s="36"/>
      <c r="I35" s="36"/>
      <c r="J35" s="53" t="s">
        <v>31</v>
      </c>
      <c r="K35" s="160" t="s">
        <v>112</v>
      </c>
    </row>
    <row r="36" spans="1:11" s="14" customFormat="1" x14ac:dyDescent="0.2">
      <c r="A36" s="36">
        <v>5</v>
      </c>
      <c r="B36" s="39">
        <v>45755</v>
      </c>
      <c r="C36" s="36" t="s">
        <v>46</v>
      </c>
      <c r="D36" s="37">
        <v>0.72916666666666663</v>
      </c>
      <c r="E36" s="36" t="s">
        <v>27</v>
      </c>
      <c r="F36" s="36" t="s">
        <v>15</v>
      </c>
      <c r="G36" s="36" t="s">
        <v>16</v>
      </c>
      <c r="H36" s="36"/>
      <c r="I36" s="36"/>
      <c r="J36" s="53" t="s">
        <v>35</v>
      </c>
      <c r="K36" s="90"/>
    </row>
    <row r="37" spans="1:11" s="14" customFormat="1" x14ac:dyDescent="0.2">
      <c r="A37" s="36">
        <v>5</v>
      </c>
      <c r="B37" s="39">
        <v>45755</v>
      </c>
      <c r="C37" s="36" t="s">
        <v>46</v>
      </c>
      <c r="D37" s="37">
        <v>0.79166666666666663</v>
      </c>
      <c r="E37" s="36" t="s">
        <v>27</v>
      </c>
      <c r="F37" s="36" t="s">
        <v>17</v>
      </c>
      <c r="G37" s="36" t="s">
        <v>11</v>
      </c>
      <c r="H37" s="36"/>
      <c r="I37" s="36"/>
      <c r="J37" s="53" t="s">
        <v>38</v>
      </c>
      <c r="K37" s="90"/>
    </row>
    <row r="38" spans="1:11" s="14" customFormat="1" x14ac:dyDescent="0.2">
      <c r="A38" s="36">
        <v>5</v>
      </c>
      <c r="B38" s="39">
        <v>45757</v>
      </c>
      <c r="C38" s="36" t="s">
        <v>43</v>
      </c>
      <c r="D38" s="37">
        <v>0.72916666666666663</v>
      </c>
      <c r="E38" s="36" t="s">
        <v>27</v>
      </c>
      <c r="F38" s="36" t="s">
        <v>10</v>
      </c>
      <c r="G38" s="36" t="s">
        <v>14</v>
      </c>
      <c r="H38" s="36"/>
      <c r="I38" s="36"/>
      <c r="J38" s="53" t="s">
        <v>30</v>
      </c>
      <c r="K38" s="90"/>
    </row>
    <row r="39" spans="1:11" s="14" customFormat="1" x14ac:dyDescent="0.2">
      <c r="A39" s="36">
        <v>5</v>
      </c>
      <c r="B39" s="39">
        <v>45757</v>
      </c>
      <c r="C39" s="36" t="s">
        <v>43</v>
      </c>
      <c r="D39" s="37">
        <v>0.75</v>
      </c>
      <c r="E39" s="36" t="s">
        <v>0</v>
      </c>
      <c r="F39" s="36" t="s">
        <v>49</v>
      </c>
      <c r="G39" s="36" t="s">
        <v>11</v>
      </c>
      <c r="H39" s="36"/>
      <c r="I39" s="36"/>
      <c r="J39" s="53" t="s">
        <v>31</v>
      </c>
      <c r="K39" s="90"/>
    </row>
    <row r="40" spans="1:11" s="14" customFormat="1" x14ac:dyDescent="0.2">
      <c r="A40" s="36">
        <v>5</v>
      </c>
      <c r="B40" s="39">
        <v>45757</v>
      </c>
      <c r="C40" s="36" t="s">
        <v>43</v>
      </c>
      <c r="D40" s="37">
        <v>0.80208333333333337</v>
      </c>
      <c r="E40" s="36" t="s">
        <v>27</v>
      </c>
      <c r="F40" s="36" t="s">
        <v>9</v>
      </c>
      <c r="G40" s="36" t="s">
        <v>11</v>
      </c>
      <c r="H40" s="36"/>
      <c r="I40" s="36"/>
      <c r="J40" s="53" t="s">
        <v>31</v>
      </c>
      <c r="K40" s="90"/>
    </row>
    <row r="41" spans="1:11" s="14" customFormat="1" x14ac:dyDescent="0.2">
      <c r="A41" s="36">
        <v>5</v>
      </c>
      <c r="B41" s="39">
        <v>45757</v>
      </c>
      <c r="C41" s="36" t="s">
        <v>43</v>
      </c>
      <c r="D41" s="37">
        <v>0.75</v>
      </c>
      <c r="E41" s="36" t="s">
        <v>27</v>
      </c>
      <c r="F41" s="36" t="s">
        <v>51</v>
      </c>
      <c r="G41" s="36" t="s">
        <v>20</v>
      </c>
      <c r="H41" s="36"/>
      <c r="I41" s="36"/>
      <c r="J41" s="53" t="s">
        <v>32</v>
      </c>
      <c r="K41" s="90"/>
    </row>
    <row r="42" spans="1:11" s="14" customFormat="1" x14ac:dyDescent="0.2">
      <c r="A42" s="36">
        <v>5</v>
      </c>
      <c r="B42" s="225">
        <v>45758</v>
      </c>
      <c r="C42" s="224" t="s">
        <v>48</v>
      </c>
      <c r="D42" s="223">
        <v>0.64583333333333337</v>
      </c>
      <c r="E42" s="224" t="s">
        <v>27</v>
      </c>
      <c r="F42" s="224" t="s">
        <v>12</v>
      </c>
      <c r="G42" s="224" t="s">
        <v>15</v>
      </c>
      <c r="H42" s="36"/>
      <c r="I42" s="36"/>
      <c r="J42" s="226" t="s">
        <v>89</v>
      </c>
      <c r="K42" s="160" t="s">
        <v>105</v>
      </c>
    </row>
    <row r="43" spans="1:11" s="14" customFormat="1" x14ac:dyDescent="0.2">
      <c r="A43" s="36">
        <v>5</v>
      </c>
      <c r="B43" s="39">
        <v>45759</v>
      </c>
      <c r="C43" s="36" t="s">
        <v>44</v>
      </c>
      <c r="D43" s="37">
        <v>0.625</v>
      </c>
      <c r="E43" s="36" t="s">
        <v>27</v>
      </c>
      <c r="F43" s="36" t="s">
        <v>14</v>
      </c>
      <c r="G43" s="36" t="s">
        <v>21</v>
      </c>
      <c r="H43" s="36"/>
      <c r="I43" s="36"/>
      <c r="J43" s="53" t="s">
        <v>33</v>
      </c>
      <c r="K43" s="38"/>
    </row>
    <row r="44" spans="1:11" s="14" customFormat="1" ht="13.5" thickBot="1" x14ac:dyDescent="0.25">
      <c r="A44" s="56">
        <v>5</v>
      </c>
      <c r="B44" s="57">
        <v>45759</v>
      </c>
      <c r="C44" s="56" t="s">
        <v>44</v>
      </c>
      <c r="D44" s="59">
        <v>0.48958333333333331</v>
      </c>
      <c r="E44" s="56" t="s">
        <v>27</v>
      </c>
      <c r="F44" s="56" t="s">
        <v>8</v>
      </c>
      <c r="G44" s="56" t="s">
        <v>21</v>
      </c>
      <c r="H44" s="56"/>
      <c r="I44" s="56"/>
      <c r="J44" s="58" t="s">
        <v>36</v>
      </c>
      <c r="K44" s="137"/>
    </row>
    <row r="45" spans="1:11" s="14" customFormat="1" x14ac:dyDescent="0.2">
      <c r="A45" s="36">
        <v>6</v>
      </c>
      <c r="B45" s="39">
        <v>45761</v>
      </c>
      <c r="C45" s="42" t="s">
        <v>45</v>
      </c>
      <c r="D45" s="43">
        <v>0.78125</v>
      </c>
      <c r="E45" s="36" t="s">
        <v>27</v>
      </c>
      <c r="F45" s="36" t="s">
        <v>19</v>
      </c>
      <c r="G45" s="36" t="s">
        <v>18</v>
      </c>
      <c r="H45" s="36"/>
      <c r="I45" s="36"/>
      <c r="J45" s="53" t="s">
        <v>34</v>
      </c>
      <c r="K45" s="38"/>
    </row>
    <row r="46" spans="1:11" s="14" customFormat="1" x14ac:dyDescent="0.2">
      <c r="A46" s="36">
        <v>6</v>
      </c>
      <c r="B46" s="39">
        <v>45762</v>
      </c>
      <c r="C46" s="36" t="s">
        <v>46</v>
      </c>
      <c r="D46" s="37">
        <v>0.82291666666666663</v>
      </c>
      <c r="E46" s="36" t="s">
        <v>27</v>
      </c>
      <c r="F46" s="36" t="s">
        <v>14</v>
      </c>
      <c r="G46" s="36" t="s">
        <v>9</v>
      </c>
      <c r="H46" s="36"/>
      <c r="I46" s="36"/>
      <c r="J46" s="53" t="s">
        <v>33</v>
      </c>
      <c r="K46" s="38"/>
    </row>
    <row r="47" spans="1:11" s="14" customFormat="1" x14ac:dyDescent="0.2">
      <c r="A47" s="36">
        <v>6</v>
      </c>
      <c r="B47" s="39">
        <v>45762</v>
      </c>
      <c r="C47" s="36" t="s">
        <v>46</v>
      </c>
      <c r="D47" s="37">
        <v>0.75</v>
      </c>
      <c r="E47" s="36" t="s">
        <v>27</v>
      </c>
      <c r="F47" s="36" t="s">
        <v>20</v>
      </c>
      <c r="G47" s="36" t="s">
        <v>50</v>
      </c>
      <c r="H47" s="36"/>
      <c r="I47" s="36"/>
      <c r="J47" s="53" t="s">
        <v>39</v>
      </c>
      <c r="K47" s="90"/>
    </row>
    <row r="48" spans="1:11" s="14" customFormat="1" x14ac:dyDescent="0.2">
      <c r="A48" s="35">
        <v>6</v>
      </c>
      <c r="B48" s="39">
        <v>45763</v>
      </c>
      <c r="C48" s="36" t="s">
        <v>47</v>
      </c>
      <c r="D48" s="37">
        <v>0.75</v>
      </c>
      <c r="E48" s="35" t="s">
        <v>0</v>
      </c>
      <c r="F48" s="35" t="s">
        <v>8</v>
      </c>
      <c r="G48" s="35" t="s">
        <v>11</v>
      </c>
      <c r="H48" s="35"/>
      <c r="I48" s="35"/>
      <c r="J48" s="53" t="s">
        <v>36</v>
      </c>
      <c r="K48" s="90"/>
    </row>
    <row r="49" spans="1:11" s="14" customFormat="1" x14ac:dyDescent="0.2">
      <c r="A49" s="36">
        <v>6</v>
      </c>
      <c r="B49" s="39">
        <v>45763</v>
      </c>
      <c r="C49" s="36" t="s">
        <v>47</v>
      </c>
      <c r="D49" s="37">
        <v>0.80208333333333337</v>
      </c>
      <c r="E49" s="36" t="s">
        <v>27</v>
      </c>
      <c r="F49" s="36" t="s">
        <v>8</v>
      </c>
      <c r="G49" s="36" t="s">
        <v>11</v>
      </c>
      <c r="H49" s="36"/>
      <c r="I49" s="36"/>
      <c r="J49" s="53" t="s">
        <v>36</v>
      </c>
      <c r="K49" s="90"/>
    </row>
    <row r="50" spans="1:11" s="14" customFormat="1" x14ac:dyDescent="0.2">
      <c r="A50" s="36">
        <v>6</v>
      </c>
      <c r="B50" s="39">
        <v>45764</v>
      </c>
      <c r="C50" s="36" t="s">
        <v>43</v>
      </c>
      <c r="D50" s="37">
        <v>0.77083333333333337</v>
      </c>
      <c r="E50" s="36" t="s">
        <v>27</v>
      </c>
      <c r="F50" s="36" t="s">
        <v>51</v>
      </c>
      <c r="G50" s="36" t="s">
        <v>10</v>
      </c>
      <c r="H50" s="36"/>
      <c r="I50" s="36"/>
      <c r="J50" s="53" t="s">
        <v>32</v>
      </c>
      <c r="K50" s="38"/>
    </row>
    <row r="51" spans="1:11" s="14" customFormat="1" x14ac:dyDescent="0.2">
      <c r="A51" s="36">
        <v>6</v>
      </c>
      <c r="B51" s="39">
        <v>45764</v>
      </c>
      <c r="C51" s="36" t="s">
        <v>43</v>
      </c>
      <c r="D51" s="37">
        <v>0.77083333333333337</v>
      </c>
      <c r="E51" s="36" t="s">
        <v>27</v>
      </c>
      <c r="F51" s="36" t="s">
        <v>16</v>
      </c>
      <c r="G51" s="36" t="s">
        <v>50</v>
      </c>
      <c r="H51" s="36"/>
      <c r="I51" s="36"/>
      <c r="J51" s="53" t="s">
        <v>97</v>
      </c>
      <c r="K51" s="90"/>
    </row>
    <row r="52" spans="1:11" s="14" customFormat="1" x14ac:dyDescent="0.2">
      <c r="A52" s="36">
        <v>6</v>
      </c>
      <c r="B52" s="47">
        <v>45766</v>
      </c>
      <c r="C52" s="42" t="s">
        <v>44</v>
      </c>
      <c r="D52" s="46">
        <v>0.47916666666666669</v>
      </c>
      <c r="E52" s="42" t="s">
        <v>27</v>
      </c>
      <c r="F52" s="36" t="s">
        <v>12</v>
      </c>
      <c r="G52" s="36" t="s">
        <v>17</v>
      </c>
      <c r="H52" s="42"/>
      <c r="I52" s="36"/>
      <c r="J52" s="53" t="s">
        <v>92</v>
      </c>
      <c r="K52" s="95"/>
    </row>
    <row r="53" spans="1:11" s="14" customFormat="1" ht="13.5" thickBot="1" x14ac:dyDescent="0.25">
      <c r="A53" s="86">
        <v>6</v>
      </c>
      <c r="B53" s="57">
        <v>45766</v>
      </c>
      <c r="C53" s="56" t="s">
        <v>44</v>
      </c>
      <c r="D53" s="138">
        <v>0.58333333333333337</v>
      </c>
      <c r="E53" s="86" t="s">
        <v>0</v>
      </c>
      <c r="F53" s="86" t="s">
        <v>12</v>
      </c>
      <c r="G53" s="86" t="s">
        <v>9</v>
      </c>
      <c r="H53" s="86"/>
      <c r="I53" s="86"/>
      <c r="J53" s="58" t="s">
        <v>92</v>
      </c>
      <c r="K53" s="139"/>
    </row>
    <row r="54" spans="1:11" s="14" customFormat="1" x14ac:dyDescent="0.2">
      <c r="A54" s="35">
        <v>7</v>
      </c>
      <c r="B54" s="39">
        <v>45769</v>
      </c>
      <c r="C54" s="42" t="s">
        <v>46</v>
      </c>
      <c r="D54" s="37">
        <v>0.75</v>
      </c>
      <c r="E54" s="36" t="s">
        <v>0</v>
      </c>
      <c r="F54" s="36" t="s">
        <v>12</v>
      </c>
      <c r="G54" s="36" t="s">
        <v>21</v>
      </c>
      <c r="H54" s="35"/>
      <c r="I54" s="35"/>
      <c r="J54" s="53" t="s">
        <v>92</v>
      </c>
      <c r="K54" s="90"/>
    </row>
    <row r="55" spans="1:11" s="14" customFormat="1" x14ac:dyDescent="0.2">
      <c r="A55" s="36">
        <v>7</v>
      </c>
      <c r="B55" s="39">
        <v>45769</v>
      </c>
      <c r="C55" s="36" t="s">
        <v>46</v>
      </c>
      <c r="D55" s="203">
        <v>0.78125</v>
      </c>
      <c r="E55" s="36" t="s">
        <v>27</v>
      </c>
      <c r="F55" s="36" t="s">
        <v>9</v>
      </c>
      <c r="G55" s="36" t="s">
        <v>18</v>
      </c>
      <c r="H55" s="36"/>
      <c r="I55" s="36"/>
      <c r="J55" s="53" t="s">
        <v>31</v>
      </c>
      <c r="K55" s="211" t="s">
        <v>113</v>
      </c>
    </row>
    <row r="56" spans="1:11" s="14" customFormat="1" x14ac:dyDescent="0.2">
      <c r="A56" s="36">
        <v>7</v>
      </c>
      <c r="B56" s="39">
        <v>45769</v>
      </c>
      <c r="C56" s="36" t="s">
        <v>46</v>
      </c>
      <c r="D56" s="43">
        <v>0.77083333333333337</v>
      </c>
      <c r="E56" s="36" t="s">
        <v>27</v>
      </c>
      <c r="F56" s="36" t="s">
        <v>50</v>
      </c>
      <c r="G56" s="36" t="s">
        <v>10</v>
      </c>
      <c r="H56" s="36"/>
      <c r="I56" s="36"/>
      <c r="J56" s="53" t="s">
        <v>29</v>
      </c>
      <c r="K56" s="38"/>
    </row>
    <row r="57" spans="1:11" s="14" customFormat="1" x14ac:dyDescent="0.2">
      <c r="A57" s="36">
        <v>7</v>
      </c>
      <c r="B57" s="39">
        <v>45769</v>
      </c>
      <c r="C57" s="36" t="s">
        <v>46</v>
      </c>
      <c r="D57" s="37">
        <v>0.79166666666666663</v>
      </c>
      <c r="E57" s="36" t="s">
        <v>27</v>
      </c>
      <c r="F57" s="36" t="s">
        <v>17</v>
      </c>
      <c r="G57" s="36" t="s">
        <v>20</v>
      </c>
      <c r="H57" s="36"/>
      <c r="I57" s="36"/>
      <c r="J57" s="53" t="s">
        <v>38</v>
      </c>
      <c r="K57" s="90"/>
    </row>
    <row r="58" spans="1:11" s="14" customFormat="1" x14ac:dyDescent="0.2">
      <c r="A58" s="36">
        <v>7</v>
      </c>
      <c r="B58" s="39">
        <v>45770</v>
      </c>
      <c r="C58" s="36" t="s">
        <v>47</v>
      </c>
      <c r="D58" s="37">
        <v>0.72916666666666663</v>
      </c>
      <c r="E58" s="36" t="s">
        <v>27</v>
      </c>
      <c r="F58" s="36" t="s">
        <v>15</v>
      </c>
      <c r="G58" s="36" t="s">
        <v>19</v>
      </c>
      <c r="H58" s="36"/>
      <c r="I58" s="36"/>
      <c r="J58" s="53" t="s">
        <v>35</v>
      </c>
      <c r="K58" s="38"/>
    </row>
    <row r="59" spans="1:11" s="14" customFormat="1" x14ac:dyDescent="0.2">
      <c r="A59" s="36">
        <v>7</v>
      </c>
      <c r="B59" s="39">
        <v>45770</v>
      </c>
      <c r="C59" s="36" t="s">
        <v>47</v>
      </c>
      <c r="D59" s="37" t="s">
        <v>68</v>
      </c>
      <c r="E59" s="36" t="s">
        <v>27</v>
      </c>
      <c r="F59" s="36" t="s">
        <v>16</v>
      </c>
      <c r="G59" s="36" t="s">
        <v>8</v>
      </c>
      <c r="H59" s="36"/>
      <c r="I59" s="36"/>
      <c r="J59" s="53" t="s">
        <v>97</v>
      </c>
      <c r="K59" s="90"/>
    </row>
    <row r="60" spans="1:11" s="14" customFormat="1" x14ac:dyDescent="0.2">
      <c r="A60" s="36">
        <v>7</v>
      </c>
      <c r="B60" s="39">
        <v>45771</v>
      </c>
      <c r="C60" s="42" t="s">
        <v>43</v>
      </c>
      <c r="D60" s="37">
        <v>0.75</v>
      </c>
      <c r="E60" s="36" t="s">
        <v>27</v>
      </c>
      <c r="F60" s="36" t="s">
        <v>11</v>
      </c>
      <c r="G60" s="36" t="s">
        <v>50</v>
      </c>
      <c r="H60" s="42"/>
      <c r="I60" s="36"/>
      <c r="J60" s="53" t="s">
        <v>67</v>
      </c>
      <c r="K60" s="38"/>
    </row>
    <row r="61" spans="1:11" s="14" customFormat="1" x14ac:dyDescent="0.2">
      <c r="A61" s="36">
        <v>7</v>
      </c>
      <c r="B61" s="47">
        <v>45773</v>
      </c>
      <c r="C61" s="42" t="s">
        <v>44</v>
      </c>
      <c r="D61" s="46">
        <v>0.45833333333333331</v>
      </c>
      <c r="E61" s="42" t="s">
        <v>27</v>
      </c>
      <c r="F61" s="36" t="s">
        <v>12</v>
      </c>
      <c r="G61" s="36" t="s">
        <v>18</v>
      </c>
      <c r="H61" s="42"/>
      <c r="I61" s="36"/>
      <c r="J61" s="53" t="s">
        <v>67</v>
      </c>
      <c r="K61" s="149"/>
    </row>
    <row r="62" spans="1:11" s="14" customFormat="1" x14ac:dyDescent="0.2">
      <c r="A62" s="36">
        <v>7</v>
      </c>
      <c r="B62" s="39">
        <v>45773</v>
      </c>
      <c r="C62" s="36" t="s">
        <v>44</v>
      </c>
      <c r="D62" s="37">
        <v>0.52083333333333337</v>
      </c>
      <c r="E62" s="36" t="s">
        <v>27</v>
      </c>
      <c r="F62" s="36" t="s">
        <v>11</v>
      </c>
      <c r="G62" s="36" t="s">
        <v>19</v>
      </c>
      <c r="H62" s="36"/>
      <c r="I62" s="36"/>
      <c r="J62" s="53" t="s">
        <v>67</v>
      </c>
      <c r="K62" s="38"/>
    </row>
    <row r="63" spans="1:11" s="14" customFormat="1" x14ac:dyDescent="0.2">
      <c r="A63" s="35">
        <v>7</v>
      </c>
      <c r="B63" s="39">
        <v>45773</v>
      </c>
      <c r="C63" s="36" t="s">
        <v>44</v>
      </c>
      <c r="D63" s="37">
        <v>0.58333333333333337</v>
      </c>
      <c r="E63" s="35" t="s">
        <v>0</v>
      </c>
      <c r="F63" s="35" t="s">
        <v>11</v>
      </c>
      <c r="G63" s="35" t="s">
        <v>8</v>
      </c>
      <c r="H63" s="36"/>
      <c r="I63" s="36"/>
      <c r="J63" s="53" t="s">
        <v>67</v>
      </c>
      <c r="K63" s="90"/>
    </row>
    <row r="64" spans="1:11" s="14" customFormat="1" x14ac:dyDescent="0.2">
      <c r="A64" s="35">
        <v>7</v>
      </c>
      <c r="B64" s="48">
        <v>45773</v>
      </c>
      <c r="C64" s="49" t="s">
        <v>44</v>
      </c>
      <c r="D64" s="50">
        <v>0.58333333333333337</v>
      </c>
      <c r="E64" s="51" t="s">
        <v>0</v>
      </c>
      <c r="F64" s="51" t="s">
        <v>11</v>
      </c>
      <c r="G64" s="51" t="s">
        <v>21</v>
      </c>
      <c r="H64" s="51"/>
      <c r="I64" s="51"/>
      <c r="J64" s="54" t="s">
        <v>67</v>
      </c>
      <c r="K64" s="160" t="s">
        <v>95</v>
      </c>
    </row>
    <row r="65" spans="1:11" s="14" customFormat="1" x14ac:dyDescent="0.2">
      <c r="A65" s="36">
        <v>7</v>
      </c>
      <c r="B65" s="39">
        <v>45773</v>
      </c>
      <c r="C65" s="42" t="s">
        <v>44</v>
      </c>
      <c r="D65" s="37">
        <v>0.64583333333333337</v>
      </c>
      <c r="E65" s="36" t="s">
        <v>27</v>
      </c>
      <c r="F65" s="36" t="s">
        <v>19</v>
      </c>
      <c r="G65" s="42" t="s">
        <v>12</v>
      </c>
      <c r="H65" s="42"/>
      <c r="I65" s="36"/>
      <c r="J65" s="53" t="s">
        <v>67</v>
      </c>
      <c r="K65" s="38"/>
    </row>
    <row r="66" spans="1:11" s="14" customFormat="1" x14ac:dyDescent="0.2">
      <c r="A66" s="36">
        <v>7</v>
      </c>
      <c r="B66" s="39">
        <v>45773</v>
      </c>
      <c r="C66" s="38" t="s">
        <v>44</v>
      </c>
      <c r="D66" s="43">
        <v>0.70833333333333337</v>
      </c>
      <c r="E66" s="36" t="s">
        <v>27</v>
      </c>
      <c r="F66" s="42" t="s">
        <v>11</v>
      </c>
      <c r="G66" s="36" t="s">
        <v>18</v>
      </c>
      <c r="H66" s="42"/>
      <c r="I66" s="36"/>
      <c r="J66" s="53" t="s">
        <v>67</v>
      </c>
      <c r="K66" s="149"/>
    </row>
    <row r="67" spans="1:11" s="14" customFormat="1" ht="13.5" thickBot="1" x14ac:dyDescent="0.25">
      <c r="A67" s="56">
        <v>7</v>
      </c>
      <c r="B67" s="57">
        <v>45773</v>
      </c>
      <c r="C67" s="56" t="s">
        <v>44</v>
      </c>
      <c r="D67" s="59" t="s">
        <v>88</v>
      </c>
      <c r="E67" s="56" t="s">
        <v>27</v>
      </c>
      <c r="F67" s="56" t="s">
        <v>21</v>
      </c>
      <c r="G67" s="56" t="s">
        <v>9</v>
      </c>
      <c r="H67" s="56"/>
      <c r="I67" s="56"/>
      <c r="J67" s="212" t="s">
        <v>106</v>
      </c>
      <c r="K67" s="213" t="s">
        <v>108</v>
      </c>
    </row>
    <row r="68" spans="1:11" s="14" customFormat="1" x14ac:dyDescent="0.2">
      <c r="A68" s="36">
        <v>8</v>
      </c>
      <c r="B68" s="39">
        <v>45776</v>
      </c>
      <c r="C68" s="36" t="s">
        <v>46</v>
      </c>
      <c r="D68" s="37">
        <v>0.72916666666666663</v>
      </c>
      <c r="E68" s="36" t="s">
        <v>27</v>
      </c>
      <c r="F68" s="36" t="s">
        <v>10</v>
      </c>
      <c r="G68" s="36" t="s">
        <v>17</v>
      </c>
      <c r="H68" s="36"/>
      <c r="I68" s="36"/>
      <c r="J68" s="53" t="s">
        <v>30</v>
      </c>
      <c r="K68" s="90"/>
    </row>
    <row r="69" spans="1:11" s="14" customFormat="1" x14ac:dyDescent="0.2">
      <c r="A69" s="36">
        <v>8</v>
      </c>
      <c r="B69" s="39">
        <v>45776</v>
      </c>
      <c r="C69" s="36" t="s">
        <v>46</v>
      </c>
      <c r="D69" s="37">
        <v>0.78125</v>
      </c>
      <c r="E69" s="36" t="s">
        <v>27</v>
      </c>
      <c r="F69" s="36" t="s">
        <v>19</v>
      </c>
      <c r="G69" s="36" t="s">
        <v>8</v>
      </c>
      <c r="H69" s="36"/>
      <c r="I69" s="36"/>
      <c r="J69" s="53" t="s">
        <v>34</v>
      </c>
      <c r="K69" s="90"/>
    </row>
    <row r="70" spans="1:11" s="14" customFormat="1" x14ac:dyDescent="0.2">
      <c r="A70" s="36">
        <v>8</v>
      </c>
      <c r="B70" s="39">
        <v>45776</v>
      </c>
      <c r="C70" s="36" t="s">
        <v>46</v>
      </c>
      <c r="D70" s="37">
        <v>0.80208333333333337</v>
      </c>
      <c r="E70" s="36" t="s">
        <v>27</v>
      </c>
      <c r="F70" s="36" t="s">
        <v>15</v>
      </c>
      <c r="G70" s="36" t="s">
        <v>11</v>
      </c>
      <c r="H70" s="36"/>
      <c r="I70" s="36"/>
      <c r="J70" s="53" t="s">
        <v>39</v>
      </c>
      <c r="K70" s="90"/>
    </row>
    <row r="71" spans="1:11" s="14" customFormat="1" x14ac:dyDescent="0.2">
      <c r="A71" s="36">
        <v>8</v>
      </c>
      <c r="B71" s="39">
        <v>45778</v>
      </c>
      <c r="C71" s="36" t="s">
        <v>43</v>
      </c>
      <c r="D71" s="37">
        <v>0.75</v>
      </c>
      <c r="E71" s="36" t="s">
        <v>27</v>
      </c>
      <c r="F71" s="36" t="s">
        <v>9</v>
      </c>
      <c r="G71" s="36" t="s">
        <v>50</v>
      </c>
      <c r="H71" s="36"/>
      <c r="I71" s="36"/>
      <c r="J71" s="53" t="s">
        <v>31</v>
      </c>
      <c r="K71" s="90"/>
    </row>
    <row r="72" spans="1:11" s="14" customFormat="1" x14ac:dyDescent="0.2">
      <c r="A72" s="36">
        <v>8</v>
      </c>
      <c r="B72" s="39">
        <v>45779</v>
      </c>
      <c r="C72" s="36" t="s">
        <v>48</v>
      </c>
      <c r="D72" s="37">
        <v>0.75</v>
      </c>
      <c r="E72" s="36" t="s">
        <v>27</v>
      </c>
      <c r="F72" s="36" t="s">
        <v>16</v>
      </c>
      <c r="G72" s="36" t="s">
        <v>14</v>
      </c>
      <c r="H72" s="36"/>
      <c r="I72" s="36"/>
      <c r="J72" s="53" t="s">
        <v>97</v>
      </c>
      <c r="K72" s="90"/>
    </row>
    <row r="73" spans="1:11" s="14" customFormat="1" x14ac:dyDescent="0.2">
      <c r="A73" s="36">
        <v>8</v>
      </c>
      <c r="B73" s="39">
        <v>45780</v>
      </c>
      <c r="C73" s="36" t="s">
        <v>44</v>
      </c>
      <c r="D73" s="37">
        <v>0.5</v>
      </c>
      <c r="E73" s="36" t="s">
        <v>27</v>
      </c>
      <c r="F73" s="36" t="s">
        <v>11</v>
      </c>
      <c r="G73" s="36" t="s">
        <v>14</v>
      </c>
      <c r="H73" s="36"/>
      <c r="I73" s="36"/>
      <c r="J73" s="53" t="s">
        <v>67</v>
      </c>
      <c r="K73" s="90"/>
    </row>
    <row r="74" spans="1:11" s="14" customFormat="1" ht="13.5" thickBot="1" x14ac:dyDescent="0.25">
      <c r="A74" s="56">
        <v>8</v>
      </c>
      <c r="B74" s="57">
        <v>45780</v>
      </c>
      <c r="C74" s="56" t="s">
        <v>44</v>
      </c>
      <c r="D74" s="59">
        <v>0.54166666666666663</v>
      </c>
      <c r="E74" s="56" t="s">
        <v>27</v>
      </c>
      <c r="F74" s="56" t="s">
        <v>21</v>
      </c>
      <c r="G74" s="56" t="s">
        <v>15</v>
      </c>
      <c r="H74" s="56"/>
      <c r="I74" s="56"/>
      <c r="J74" s="58" t="s">
        <v>90</v>
      </c>
      <c r="K74" s="137"/>
    </row>
    <row r="75" spans="1:11" s="34" customFormat="1" x14ac:dyDescent="0.2">
      <c r="A75" s="36">
        <v>9</v>
      </c>
      <c r="B75" s="88">
        <v>45783</v>
      </c>
      <c r="C75" s="42" t="s">
        <v>46</v>
      </c>
      <c r="D75" s="37">
        <v>0.75</v>
      </c>
      <c r="E75" s="36" t="s">
        <v>27</v>
      </c>
      <c r="F75" s="36" t="s">
        <v>10</v>
      </c>
      <c r="G75" s="36" t="s">
        <v>11</v>
      </c>
      <c r="H75" s="35"/>
      <c r="I75" s="36"/>
      <c r="J75" s="53" t="s">
        <v>30</v>
      </c>
      <c r="K75" s="95"/>
    </row>
    <row r="76" spans="1:11" s="34" customFormat="1" x14ac:dyDescent="0.2">
      <c r="A76" s="36">
        <v>9</v>
      </c>
      <c r="B76" s="39">
        <v>45783</v>
      </c>
      <c r="C76" s="36" t="s">
        <v>46</v>
      </c>
      <c r="D76" s="37">
        <v>0.77083333333333337</v>
      </c>
      <c r="E76" s="36" t="s">
        <v>27</v>
      </c>
      <c r="F76" s="36" t="s">
        <v>15</v>
      </c>
      <c r="G76" s="36" t="s">
        <v>8</v>
      </c>
      <c r="H76" s="36"/>
      <c r="I76" s="36"/>
      <c r="J76" s="53" t="s">
        <v>35</v>
      </c>
      <c r="K76" s="38"/>
    </row>
    <row r="77" spans="1:11" s="34" customFormat="1" x14ac:dyDescent="0.2">
      <c r="A77" s="36">
        <v>9</v>
      </c>
      <c r="B77" s="39">
        <v>45784</v>
      </c>
      <c r="C77" s="42" t="s">
        <v>47</v>
      </c>
      <c r="D77" s="37">
        <v>0.79166666666666663</v>
      </c>
      <c r="E77" s="36" t="s">
        <v>27</v>
      </c>
      <c r="F77" s="36" t="s">
        <v>17</v>
      </c>
      <c r="G77" s="36" t="s">
        <v>9</v>
      </c>
      <c r="H77" s="36"/>
      <c r="I77" s="36"/>
      <c r="J77" s="53" t="s">
        <v>38</v>
      </c>
      <c r="K77" s="90"/>
    </row>
    <row r="78" spans="1:11" s="14" customFormat="1" x14ac:dyDescent="0.2">
      <c r="A78" s="36">
        <v>9</v>
      </c>
      <c r="B78" s="201">
        <v>45785</v>
      </c>
      <c r="C78" s="202" t="s">
        <v>46</v>
      </c>
      <c r="D78" s="37">
        <v>0.75</v>
      </c>
      <c r="E78" s="36" t="s">
        <v>27</v>
      </c>
      <c r="F78" s="36" t="s">
        <v>50</v>
      </c>
      <c r="G78" s="36" t="s">
        <v>15</v>
      </c>
      <c r="H78" s="42"/>
      <c r="I78" s="36"/>
      <c r="J78" s="53" t="s">
        <v>29</v>
      </c>
      <c r="K78" s="227" t="s">
        <v>115</v>
      </c>
    </row>
    <row r="79" spans="1:11" s="34" customFormat="1" x14ac:dyDescent="0.2">
      <c r="A79" s="36">
        <v>9</v>
      </c>
      <c r="B79" s="39">
        <v>45785</v>
      </c>
      <c r="C79" s="36" t="s">
        <v>43</v>
      </c>
      <c r="D79" s="37">
        <v>0.77083333333333337</v>
      </c>
      <c r="E79" s="36" t="s">
        <v>27</v>
      </c>
      <c r="F79" s="36" t="s">
        <v>16</v>
      </c>
      <c r="G79" s="36" t="s">
        <v>18</v>
      </c>
      <c r="H79" s="36"/>
      <c r="I79" s="36"/>
      <c r="J79" s="53" t="s">
        <v>97</v>
      </c>
      <c r="K79" s="90"/>
    </row>
    <row r="80" spans="1:11" s="34" customFormat="1" x14ac:dyDescent="0.2">
      <c r="A80" s="35">
        <v>9</v>
      </c>
      <c r="B80" s="39">
        <v>45786</v>
      </c>
      <c r="C80" s="42" t="s">
        <v>48</v>
      </c>
      <c r="D80" s="37">
        <v>0.75</v>
      </c>
      <c r="E80" s="35" t="s">
        <v>0</v>
      </c>
      <c r="F80" s="35" t="s">
        <v>11</v>
      </c>
      <c r="G80" s="35" t="s">
        <v>12</v>
      </c>
      <c r="H80" s="36"/>
      <c r="I80" s="36"/>
      <c r="J80" s="53" t="s">
        <v>67</v>
      </c>
      <c r="K80" s="38"/>
    </row>
    <row r="81" spans="1:11" s="34" customFormat="1" x14ac:dyDescent="0.2">
      <c r="A81" s="42">
        <v>9</v>
      </c>
      <c r="B81" s="47">
        <v>45787</v>
      </c>
      <c r="C81" s="42" t="s">
        <v>44</v>
      </c>
      <c r="D81" s="46">
        <v>0.45833333333333331</v>
      </c>
      <c r="E81" s="42" t="s">
        <v>0</v>
      </c>
      <c r="F81" s="42" t="s">
        <v>49</v>
      </c>
      <c r="G81" s="42" t="s">
        <v>12</v>
      </c>
      <c r="H81" s="42"/>
      <c r="I81" s="42"/>
      <c r="J81" s="55" t="s">
        <v>31</v>
      </c>
      <c r="K81" s="38"/>
    </row>
    <row r="82" spans="1:11" s="34" customFormat="1" x14ac:dyDescent="0.2">
      <c r="A82" s="36">
        <v>9</v>
      </c>
      <c r="B82" s="39">
        <v>45787</v>
      </c>
      <c r="C82" s="42" t="s">
        <v>44</v>
      </c>
      <c r="D82" s="37">
        <v>0.625</v>
      </c>
      <c r="E82" s="36" t="s">
        <v>27</v>
      </c>
      <c r="F82" s="36" t="s">
        <v>14</v>
      </c>
      <c r="G82" s="36" t="s">
        <v>12</v>
      </c>
      <c r="H82" s="36"/>
      <c r="I82" s="36"/>
      <c r="J82" s="53" t="s">
        <v>33</v>
      </c>
      <c r="K82" s="38"/>
    </row>
    <row r="83" spans="1:11" s="34" customFormat="1" x14ac:dyDescent="0.2">
      <c r="A83" s="36">
        <v>9</v>
      </c>
      <c r="B83" s="39">
        <v>45787</v>
      </c>
      <c r="C83" s="36" t="s">
        <v>44</v>
      </c>
      <c r="D83" s="37">
        <v>0.54166666666666663</v>
      </c>
      <c r="E83" s="36" t="s">
        <v>27</v>
      </c>
      <c r="F83" s="42" t="s">
        <v>21</v>
      </c>
      <c r="G83" s="36" t="s">
        <v>20</v>
      </c>
      <c r="H83" s="36"/>
      <c r="I83" s="36"/>
      <c r="J83" s="53" t="s">
        <v>90</v>
      </c>
      <c r="K83" s="95"/>
    </row>
    <row r="84" spans="1:11" s="34" customFormat="1" x14ac:dyDescent="0.2">
      <c r="A84" s="36">
        <v>9</v>
      </c>
      <c r="B84" s="39">
        <v>45787</v>
      </c>
      <c r="C84" s="36" t="s">
        <v>44</v>
      </c>
      <c r="D84" s="37">
        <v>0.625</v>
      </c>
      <c r="E84" s="36" t="s">
        <v>27</v>
      </c>
      <c r="F84" s="36" t="s">
        <v>21</v>
      </c>
      <c r="G84" s="36" t="s">
        <v>10</v>
      </c>
      <c r="H84" s="36"/>
      <c r="I84" s="36"/>
      <c r="J84" s="53" t="s">
        <v>90</v>
      </c>
      <c r="K84" s="38"/>
    </row>
    <row r="85" spans="1:11" s="14" customFormat="1" x14ac:dyDescent="0.2">
      <c r="A85" s="36">
        <v>9</v>
      </c>
      <c r="B85" s="39">
        <v>45787</v>
      </c>
      <c r="C85" s="42" t="s">
        <v>44</v>
      </c>
      <c r="D85" s="42" t="s">
        <v>93</v>
      </c>
      <c r="E85" s="36" t="s">
        <v>0</v>
      </c>
      <c r="F85" s="36" t="s">
        <v>8</v>
      </c>
      <c r="G85" s="36" t="s">
        <v>12</v>
      </c>
      <c r="H85" s="36"/>
      <c r="I85" s="36"/>
      <c r="J85" s="54" t="s">
        <v>94</v>
      </c>
      <c r="K85" s="160"/>
    </row>
    <row r="86" spans="1:11" s="34" customFormat="1" x14ac:dyDescent="0.2">
      <c r="A86" s="36">
        <v>9</v>
      </c>
      <c r="B86" s="39">
        <v>45787</v>
      </c>
      <c r="C86" s="42" t="s">
        <v>44</v>
      </c>
      <c r="D86" s="42" t="s">
        <v>93</v>
      </c>
      <c r="E86" s="36" t="s">
        <v>27</v>
      </c>
      <c r="F86" s="36" t="s">
        <v>8</v>
      </c>
      <c r="G86" s="36" t="s">
        <v>12</v>
      </c>
      <c r="H86" s="36"/>
      <c r="I86" s="36"/>
      <c r="J86" s="54" t="s">
        <v>96</v>
      </c>
      <c r="K86" s="160"/>
    </row>
    <row r="87" spans="1:11" s="14" customFormat="1" x14ac:dyDescent="0.2">
      <c r="A87" s="16"/>
      <c r="B87" s="16"/>
      <c r="C87" s="15"/>
      <c r="D87" s="15"/>
      <c r="E87" s="15"/>
      <c r="F87" s="15"/>
      <c r="G87" s="15"/>
      <c r="H87" s="15"/>
      <c r="I87" s="15"/>
      <c r="J87" s="15"/>
      <c r="K87" s="17"/>
    </row>
    <row r="88" spans="1:11" s="34" customFormat="1" x14ac:dyDescent="0.2">
      <c r="A88" s="16"/>
      <c r="B88" s="16"/>
      <c r="C88" s="15"/>
      <c r="D88" s="15"/>
      <c r="E88" s="15"/>
      <c r="F88" s="15"/>
      <c r="G88" s="15"/>
      <c r="H88" s="15"/>
      <c r="I88" s="15"/>
      <c r="J88" s="15"/>
      <c r="K88" s="17"/>
    </row>
    <row r="89" spans="1:11" s="34" customFormat="1" x14ac:dyDescent="0.2">
      <c r="A89" s="16"/>
      <c r="B89" s="16"/>
      <c r="C89" s="15"/>
      <c r="D89" s="15"/>
      <c r="E89" s="15"/>
      <c r="F89" s="15"/>
      <c r="G89" s="15"/>
      <c r="H89" s="15"/>
      <c r="I89" s="15"/>
      <c r="J89" s="15"/>
      <c r="K89" s="17"/>
    </row>
    <row r="90" spans="1:11" s="34" customFormat="1" x14ac:dyDescent="0.2">
      <c r="A90" s="16"/>
      <c r="B90" s="16"/>
      <c r="C90" s="15"/>
      <c r="D90" s="15"/>
      <c r="E90" s="15"/>
      <c r="F90" s="15"/>
      <c r="G90" s="15"/>
      <c r="H90" s="15"/>
      <c r="I90" s="15"/>
      <c r="J90" s="15"/>
      <c r="K90" s="17"/>
    </row>
    <row r="91" spans="1:11" s="34" customFormat="1" x14ac:dyDescent="0.2">
      <c r="A91" s="16"/>
      <c r="B91" s="16"/>
      <c r="C91" s="15"/>
      <c r="D91" s="15"/>
      <c r="E91" s="15"/>
      <c r="F91" s="15"/>
      <c r="G91" s="15"/>
      <c r="H91" s="15"/>
      <c r="I91" s="15"/>
      <c r="J91" s="15"/>
      <c r="K91" s="17"/>
    </row>
    <row r="92" spans="1:11" s="34" customFormat="1" x14ac:dyDescent="0.2">
      <c r="A92" s="16"/>
      <c r="B92" s="16"/>
      <c r="C92" s="15"/>
      <c r="D92" s="15"/>
      <c r="E92" s="15"/>
      <c r="F92" s="15"/>
      <c r="G92" s="15"/>
      <c r="H92" s="15"/>
      <c r="I92" s="15"/>
      <c r="J92" s="15"/>
      <c r="K92" s="17"/>
    </row>
    <row r="93" spans="1:11" s="34" customFormat="1" x14ac:dyDescent="0.2">
      <c r="A93" s="16"/>
      <c r="B93" s="16"/>
      <c r="C93" s="15"/>
      <c r="D93" s="15"/>
      <c r="E93" s="15"/>
      <c r="F93" s="15"/>
      <c r="G93" s="15"/>
      <c r="H93" s="15"/>
      <c r="I93" s="15"/>
      <c r="J93" s="15"/>
      <c r="K93" s="17"/>
    </row>
    <row r="94" spans="1:11" s="34" customFormat="1" x14ac:dyDescent="0.2">
      <c r="A94" s="16"/>
      <c r="B94" s="16"/>
      <c r="C94" s="15"/>
      <c r="D94" s="15"/>
      <c r="E94" s="15"/>
      <c r="F94" s="15"/>
      <c r="G94" s="15"/>
      <c r="H94" s="15"/>
      <c r="I94" s="15"/>
      <c r="J94" s="15"/>
      <c r="K94" s="17"/>
    </row>
    <row r="95" spans="1:11" s="34" customFormat="1" x14ac:dyDescent="0.2">
      <c r="A95" s="16"/>
      <c r="B95" s="16"/>
      <c r="C95" s="15"/>
      <c r="D95" s="15"/>
      <c r="E95" s="15"/>
      <c r="F95" s="15"/>
      <c r="G95" s="15"/>
      <c r="H95" s="15"/>
      <c r="I95" s="15"/>
      <c r="J95" s="15"/>
      <c r="K95" s="17"/>
    </row>
    <row r="96" spans="1:11" s="34" customFormat="1" x14ac:dyDescent="0.2">
      <c r="A96" s="16"/>
      <c r="B96" s="16"/>
      <c r="C96" s="15"/>
      <c r="D96" s="15"/>
      <c r="E96" s="15"/>
      <c r="F96" s="15"/>
      <c r="G96" s="15"/>
      <c r="H96" s="15"/>
      <c r="I96" s="15"/>
      <c r="J96" s="15"/>
      <c r="K96" s="17"/>
    </row>
    <row r="97" spans="1:11" s="34" customFormat="1" x14ac:dyDescent="0.2">
      <c r="A97" s="16"/>
      <c r="B97" s="16"/>
      <c r="C97" s="15"/>
      <c r="D97" s="15"/>
      <c r="E97" s="15"/>
      <c r="F97" s="15"/>
      <c r="G97" s="15"/>
      <c r="H97" s="15"/>
      <c r="I97" s="15"/>
      <c r="J97" s="15"/>
      <c r="K97" s="17"/>
    </row>
    <row r="98" spans="1:11" s="34" customFormat="1" x14ac:dyDescent="0.2">
      <c r="A98" s="16"/>
      <c r="B98" s="16"/>
      <c r="C98" s="15"/>
      <c r="D98" s="15"/>
      <c r="E98" s="15"/>
      <c r="F98" s="15"/>
      <c r="G98" s="15"/>
      <c r="H98" s="15"/>
      <c r="I98" s="15"/>
      <c r="J98" s="15"/>
      <c r="K98" s="17"/>
    </row>
    <row r="99" spans="1:11" s="34" customFormat="1" x14ac:dyDescent="0.2">
      <c r="A99" s="16"/>
      <c r="B99" s="16"/>
      <c r="C99" s="15"/>
      <c r="D99" s="15"/>
      <c r="E99" s="15"/>
      <c r="F99" s="15"/>
      <c r="G99" s="15"/>
      <c r="H99" s="15"/>
      <c r="I99" s="15"/>
      <c r="J99" s="15"/>
      <c r="K99" s="17"/>
    </row>
    <row r="100" spans="1:11" s="34" customFormat="1" x14ac:dyDescent="0.2">
      <c r="A100" s="16"/>
      <c r="B100" s="16"/>
      <c r="C100" s="15"/>
      <c r="D100" s="15"/>
      <c r="E100" s="15"/>
      <c r="F100" s="15"/>
      <c r="G100" s="15"/>
      <c r="H100" s="15"/>
      <c r="I100" s="15"/>
      <c r="J100" s="15"/>
      <c r="K100" s="17"/>
    </row>
    <row r="101" spans="1:11" s="34" customFormat="1" x14ac:dyDescent="0.2">
      <c r="A101" s="16"/>
      <c r="B101" s="16"/>
      <c r="C101" s="15"/>
      <c r="D101" s="15"/>
      <c r="E101" s="15"/>
      <c r="F101" s="15"/>
      <c r="G101" s="15"/>
      <c r="H101" s="15"/>
      <c r="I101" s="15"/>
      <c r="J101" s="15"/>
      <c r="K101" s="17"/>
    </row>
    <row r="102" spans="1:11" s="34" customFormat="1" x14ac:dyDescent="0.2">
      <c r="A102" s="16"/>
      <c r="B102" s="16"/>
      <c r="C102" s="15"/>
      <c r="D102" s="15"/>
      <c r="E102" s="15"/>
      <c r="F102" s="15"/>
      <c r="G102" s="15"/>
      <c r="H102" s="15"/>
      <c r="I102" s="15"/>
      <c r="J102" s="15"/>
      <c r="K102" s="17"/>
    </row>
    <row r="103" spans="1:11" s="34" customFormat="1" x14ac:dyDescent="0.2">
      <c r="A103" s="16"/>
      <c r="B103" s="16"/>
      <c r="C103" s="15"/>
      <c r="D103" s="15"/>
      <c r="E103" s="15"/>
      <c r="F103" s="15"/>
      <c r="G103" s="15"/>
      <c r="H103" s="15"/>
      <c r="I103" s="15"/>
      <c r="J103" s="15"/>
      <c r="K103" s="17"/>
    </row>
    <row r="104" spans="1:11" s="34" customFormat="1" x14ac:dyDescent="0.2">
      <c r="A104" s="16"/>
      <c r="B104" s="16"/>
      <c r="C104" s="15"/>
      <c r="D104" s="15"/>
      <c r="E104" s="15"/>
      <c r="F104" s="15"/>
      <c r="G104" s="15"/>
      <c r="H104" s="15"/>
      <c r="I104" s="15"/>
      <c r="J104" s="15"/>
      <c r="K104" s="17"/>
    </row>
    <row r="105" spans="1:11" s="14" customFormat="1" x14ac:dyDescent="0.2">
      <c r="A105" s="16"/>
      <c r="B105" s="16"/>
      <c r="C105" s="15"/>
      <c r="D105" s="15"/>
      <c r="E105" s="15"/>
      <c r="F105" s="15"/>
      <c r="G105" s="15"/>
      <c r="H105" s="15"/>
      <c r="I105" s="15"/>
      <c r="J105" s="15"/>
      <c r="K105" s="17"/>
    </row>
    <row r="106" spans="1:11" s="14" customFormat="1" x14ac:dyDescent="0.2">
      <c r="A106" s="16"/>
      <c r="B106" s="16"/>
      <c r="C106" s="15"/>
      <c r="D106" s="15"/>
      <c r="E106" s="15"/>
      <c r="F106" s="15"/>
      <c r="G106" s="15"/>
      <c r="H106" s="15"/>
      <c r="I106" s="15"/>
      <c r="J106" s="15"/>
      <c r="K106" s="17"/>
    </row>
    <row r="107" spans="1:11" s="14" customFormat="1" x14ac:dyDescent="0.2">
      <c r="A107" s="16"/>
      <c r="B107" s="16"/>
      <c r="C107" s="15"/>
      <c r="D107" s="15"/>
      <c r="E107" s="15"/>
      <c r="F107" s="15"/>
      <c r="G107" s="15"/>
      <c r="H107" s="15"/>
      <c r="I107" s="15"/>
      <c r="J107" s="15"/>
      <c r="K107" s="17"/>
    </row>
    <row r="108" spans="1:11" s="14" customFormat="1" x14ac:dyDescent="0.2">
      <c r="A108" s="16"/>
      <c r="B108" s="16"/>
      <c r="C108" s="15"/>
      <c r="D108" s="15"/>
      <c r="E108" s="15"/>
      <c r="F108" s="15"/>
      <c r="G108" s="15"/>
      <c r="H108" s="15"/>
      <c r="I108" s="15"/>
      <c r="J108" s="15"/>
      <c r="K108" s="17"/>
    </row>
    <row r="109" spans="1:11" s="14" customFormat="1" x14ac:dyDescent="0.2">
      <c r="A109" s="16"/>
      <c r="B109" s="16"/>
      <c r="C109" s="15"/>
      <c r="D109" s="15"/>
      <c r="E109" s="15"/>
      <c r="F109" s="15"/>
      <c r="G109" s="15"/>
      <c r="H109" s="15"/>
      <c r="I109" s="15"/>
      <c r="J109" s="15"/>
      <c r="K109" s="17"/>
    </row>
    <row r="110" spans="1:11" s="14" customFormat="1" x14ac:dyDescent="0.2">
      <c r="A110" s="16"/>
      <c r="B110" s="16"/>
      <c r="C110" s="15"/>
      <c r="D110" s="15"/>
      <c r="E110" s="15"/>
      <c r="F110" s="15"/>
      <c r="G110" s="15"/>
      <c r="H110" s="15"/>
      <c r="I110" s="15"/>
      <c r="J110" s="15"/>
      <c r="K110" s="17"/>
    </row>
    <row r="111" spans="1:11" s="14" customFormat="1" x14ac:dyDescent="0.2">
      <c r="A111" s="16"/>
      <c r="B111" s="16"/>
      <c r="C111" s="15"/>
      <c r="D111" s="15"/>
      <c r="E111" s="15"/>
      <c r="F111" s="15"/>
      <c r="G111" s="15"/>
      <c r="H111" s="15"/>
      <c r="I111" s="15"/>
      <c r="J111" s="15"/>
      <c r="K111" s="17"/>
    </row>
    <row r="112" spans="1:11" s="14" customFormat="1" x14ac:dyDescent="0.2">
      <c r="A112" s="16"/>
      <c r="B112" s="16"/>
      <c r="C112" s="15"/>
      <c r="D112" s="15"/>
      <c r="E112" s="15"/>
      <c r="F112" s="15"/>
      <c r="G112" s="15"/>
      <c r="H112" s="15"/>
      <c r="I112" s="15"/>
      <c r="J112" s="15"/>
      <c r="K112" s="17"/>
    </row>
    <row r="113" spans="1:11" s="14" customFormat="1" x14ac:dyDescent="0.2">
      <c r="A113" s="16"/>
      <c r="B113" s="16"/>
      <c r="C113" s="15"/>
      <c r="D113" s="15"/>
      <c r="E113" s="15"/>
      <c r="F113" s="15"/>
      <c r="G113" s="15"/>
      <c r="H113" s="15"/>
      <c r="I113" s="15"/>
      <c r="J113" s="15"/>
      <c r="K113" s="17"/>
    </row>
    <row r="114" spans="1:11" s="14" customFormat="1" x14ac:dyDescent="0.2">
      <c r="A114" s="16"/>
      <c r="B114" s="16"/>
      <c r="C114" s="15"/>
      <c r="D114" s="15"/>
      <c r="E114" s="15"/>
      <c r="F114" s="15"/>
      <c r="G114" s="15"/>
      <c r="H114" s="15"/>
      <c r="I114" s="15"/>
      <c r="J114" s="15"/>
      <c r="K114" s="17"/>
    </row>
    <row r="115" spans="1:11" s="14" customFormat="1" x14ac:dyDescent="0.2">
      <c r="A115" s="16"/>
      <c r="B115" s="16"/>
      <c r="C115" s="15"/>
      <c r="D115" s="15"/>
      <c r="E115" s="15"/>
      <c r="F115" s="15"/>
      <c r="G115" s="15"/>
      <c r="H115" s="15"/>
      <c r="I115" s="15"/>
      <c r="J115" s="15"/>
      <c r="K115" s="17"/>
    </row>
    <row r="116" spans="1:11" s="14" customFormat="1" x14ac:dyDescent="0.2">
      <c r="A116" s="16"/>
      <c r="B116" s="16"/>
      <c r="C116" s="15"/>
      <c r="D116" s="15"/>
      <c r="E116" s="15"/>
      <c r="F116" s="15"/>
      <c r="G116" s="15"/>
      <c r="H116" s="15"/>
      <c r="I116" s="15"/>
      <c r="J116" s="15"/>
      <c r="K116" s="17"/>
    </row>
    <row r="117" spans="1:11" s="14" customFormat="1" x14ac:dyDescent="0.2">
      <c r="A117" s="16"/>
      <c r="B117" s="16"/>
      <c r="C117" s="15"/>
      <c r="D117" s="15"/>
      <c r="E117" s="15"/>
      <c r="F117" s="15"/>
      <c r="G117" s="15"/>
      <c r="H117" s="15"/>
      <c r="I117" s="15"/>
      <c r="J117" s="15"/>
      <c r="K117" s="17"/>
    </row>
    <row r="118" spans="1:11" s="14" customFormat="1" x14ac:dyDescent="0.2">
      <c r="A118" s="16"/>
      <c r="B118" s="16"/>
      <c r="C118" s="15"/>
      <c r="D118" s="15"/>
      <c r="E118" s="15"/>
      <c r="F118" s="15"/>
      <c r="G118" s="15"/>
      <c r="H118" s="15"/>
      <c r="I118" s="15"/>
      <c r="J118" s="15"/>
      <c r="K118" s="17"/>
    </row>
    <row r="119" spans="1:11" s="14" customFormat="1" x14ac:dyDescent="0.2">
      <c r="A119" s="16"/>
      <c r="B119" s="16"/>
      <c r="C119" s="15"/>
      <c r="D119" s="15"/>
      <c r="E119" s="15"/>
      <c r="F119" s="15"/>
      <c r="G119" s="15"/>
      <c r="H119" s="15"/>
      <c r="I119" s="15"/>
      <c r="J119" s="15"/>
      <c r="K119" s="17"/>
    </row>
    <row r="120" spans="1:11" s="14" customFormat="1" x14ac:dyDescent="0.2">
      <c r="A120" s="16"/>
      <c r="B120" s="16"/>
      <c r="C120" s="15"/>
      <c r="D120" s="15"/>
      <c r="E120" s="15"/>
      <c r="F120" s="15"/>
      <c r="G120" s="15"/>
      <c r="H120" s="15"/>
      <c r="I120" s="15"/>
      <c r="J120" s="15"/>
      <c r="K120" s="17"/>
    </row>
    <row r="121" spans="1:11" s="14" customFormat="1" x14ac:dyDescent="0.2">
      <c r="A121" s="16"/>
      <c r="B121" s="16"/>
      <c r="C121" s="15"/>
      <c r="D121" s="15"/>
      <c r="E121" s="15"/>
      <c r="F121" s="15"/>
      <c r="G121" s="15"/>
      <c r="H121" s="15"/>
      <c r="I121" s="15"/>
      <c r="J121" s="15"/>
      <c r="K121" s="17"/>
    </row>
    <row r="122" spans="1:11" s="14" customFormat="1" x14ac:dyDescent="0.2">
      <c r="A122" s="16"/>
      <c r="B122" s="16"/>
      <c r="C122" s="15"/>
      <c r="D122" s="15"/>
      <c r="E122" s="15"/>
      <c r="F122" s="15"/>
      <c r="G122" s="15"/>
      <c r="H122" s="15"/>
      <c r="I122" s="15"/>
      <c r="J122" s="15"/>
      <c r="K122" s="17"/>
    </row>
    <row r="123" spans="1:11" s="14" customFormat="1" x14ac:dyDescent="0.2">
      <c r="A123" s="16"/>
      <c r="B123" s="16"/>
      <c r="C123" s="15"/>
      <c r="D123" s="15"/>
      <c r="E123" s="15"/>
      <c r="F123" s="15"/>
      <c r="G123" s="15"/>
      <c r="H123" s="15"/>
      <c r="I123" s="15"/>
      <c r="J123" s="15"/>
      <c r="K123" s="17"/>
    </row>
    <row r="124" spans="1:11" s="14" customFormat="1" x14ac:dyDescent="0.2">
      <c r="A124" s="16"/>
      <c r="B124" s="16"/>
      <c r="C124" s="15"/>
      <c r="D124" s="15"/>
      <c r="E124" s="15"/>
      <c r="F124" s="15"/>
      <c r="G124" s="15"/>
      <c r="H124" s="15"/>
      <c r="I124" s="15"/>
      <c r="J124" s="15"/>
      <c r="K124" s="17"/>
    </row>
    <row r="125" spans="1:11" s="14" customFormat="1" x14ac:dyDescent="0.2">
      <c r="A125" s="16"/>
      <c r="B125" s="16"/>
      <c r="C125" s="15"/>
      <c r="D125" s="15"/>
      <c r="E125" s="15"/>
      <c r="F125" s="15"/>
      <c r="G125" s="15"/>
      <c r="H125" s="15"/>
      <c r="I125" s="15"/>
      <c r="J125" s="15"/>
      <c r="K125" s="17"/>
    </row>
    <row r="126" spans="1:11" s="14" customFormat="1" x14ac:dyDescent="0.2">
      <c r="A126" s="16"/>
      <c r="B126" s="16"/>
      <c r="C126" s="15"/>
      <c r="D126" s="15"/>
      <c r="E126" s="15"/>
      <c r="F126" s="15"/>
      <c r="G126" s="15"/>
      <c r="H126" s="15"/>
      <c r="I126" s="15"/>
      <c r="J126" s="15"/>
      <c r="K126" s="17"/>
    </row>
    <row r="127" spans="1:11" s="14" customFormat="1" x14ac:dyDescent="0.2">
      <c r="A127" s="16"/>
      <c r="B127" s="16"/>
      <c r="C127" s="15"/>
      <c r="D127" s="15"/>
      <c r="E127" s="15"/>
      <c r="F127" s="15"/>
      <c r="G127" s="15"/>
      <c r="H127" s="15"/>
      <c r="I127" s="15"/>
      <c r="J127" s="15"/>
      <c r="K127" s="17"/>
    </row>
    <row r="128" spans="1:11" s="14" customFormat="1" x14ac:dyDescent="0.2">
      <c r="A128" s="16"/>
      <c r="B128" s="16"/>
      <c r="C128" s="15"/>
      <c r="D128" s="15"/>
      <c r="E128" s="15"/>
      <c r="F128" s="15"/>
      <c r="G128" s="15"/>
      <c r="H128" s="15"/>
      <c r="I128" s="15"/>
      <c r="J128" s="15"/>
      <c r="K128" s="17"/>
    </row>
    <row r="129" spans="1:11" s="14" customFormat="1" x14ac:dyDescent="0.2">
      <c r="A129" s="16"/>
      <c r="B129" s="16"/>
      <c r="C129" s="15"/>
      <c r="D129" s="15"/>
      <c r="E129" s="15"/>
      <c r="F129" s="15"/>
      <c r="G129" s="15"/>
      <c r="H129" s="15"/>
      <c r="I129" s="15"/>
      <c r="J129" s="15"/>
      <c r="K129" s="17"/>
    </row>
    <row r="130" spans="1:11" s="14" customFormat="1" x14ac:dyDescent="0.2">
      <c r="A130" s="16"/>
      <c r="B130" s="16"/>
      <c r="C130" s="15"/>
      <c r="D130" s="15"/>
      <c r="E130" s="15"/>
      <c r="F130" s="15"/>
      <c r="G130" s="15"/>
      <c r="H130" s="15"/>
      <c r="I130" s="15"/>
      <c r="J130" s="15"/>
      <c r="K130" s="17"/>
    </row>
    <row r="131" spans="1:11" s="14" customFormat="1" x14ac:dyDescent="0.2">
      <c r="A131" s="16"/>
      <c r="B131" s="16"/>
      <c r="C131" s="15"/>
      <c r="D131" s="15"/>
      <c r="E131" s="15"/>
      <c r="F131" s="15"/>
      <c r="G131" s="15"/>
      <c r="H131" s="15"/>
      <c r="I131" s="15"/>
      <c r="J131" s="15"/>
      <c r="K131" s="17"/>
    </row>
    <row r="132" spans="1:11" s="14" customFormat="1" x14ac:dyDescent="0.2">
      <c r="A132" s="16"/>
      <c r="B132" s="16"/>
      <c r="C132" s="15"/>
      <c r="D132" s="15"/>
      <c r="E132" s="15"/>
      <c r="F132" s="15"/>
      <c r="G132" s="15"/>
      <c r="H132" s="15"/>
      <c r="I132" s="15"/>
      <c r="J132" s="15"/>
      <c r="K132" s="17"/>
    </row>
    <row r="133" spans="1:11" s="14" customFormat="1" x14ac:dyDescent="0.2">
      <c r="A133" s="16"/>
      <c r="B133" s="16"/>
      <c r="C133" s="15"/>
      <c r="D133" s="15"/>
      <c r="E133" s="15"/>
      <c r="F133" s="15"/>
      <c r="G133" s="15"/>
      <c r="H133" s="15"/>
      <c r="I133" s="15"/>
      <c r="J133" s="15"/>
      <c r="K133" s="17"/>
    </row>
    <row r="134" spans="1:11" s="14" customFormat="1" x14ac:dyDescent="0.2">
      <c r="A134" s="16"/>
      <c r="B134" s="16"/>
      <c r="C134" s="15"/>
      <c r="D134" s="15"/>
      <c r="E134" s="15"/>
      <c r="F134" s="15"/>
      <c r="G134" s="15"/>
      <c r="H134" s="15"/>
      <c r="I134" s="15"/>
      <c r="J134" s="15"/>
      <c r="K134" s="17"/>
    </row>
    <row r="135" spans="1:11" s="14" customFormat="1" x14ac:dyDescent="0.2">
      <c r="A135" s="16"/>
      <c r="B135" s="16"/>
      <c r="C135" s="15"/>
      <c r="D135" s="15"/>
      <c r="E135" s="15"/>
      <c r="F135" s="15"/>
      <c r="G135" s="15"/>
      <c r="H135" s="15"/>
      <c r="I135" s="15"/>
      <c r="J135" s="15"/>
      <c r="K135" s="17"/>
    </row>
    <row r="136" spans="1:11" s="14" customFormat="1" x14ac:dyDescent="0.2">
      <c r="A136" s="16"/>
      <c r="B136" s="16"/>
      <c r="C136" s="15"/>
      <c r="D136" s="15"/>
      <c r="E136" s="15"/>
      <c r="F136" s="15"/>
      <c r="G136" s="15"/>
      <c r="H136" s="15"/>
      <c r="I136" s="15"/>
      <c r="J136" s="15"/>
      <c r="K136" s="17"/>
    </row>
    <row r="137" spans="1:11" s="14" customFormat="1" x14ac:dyDescent="0.2">
      <c r="A137" s="16"/>
      <c r="B137" s="16"/>
      <c r="C137" s="15"/>
      <c r="D137" s="15"/>
      <c r="E137" s="15"/>
      <c r="F137" s="15"/>
      <c r="G137" s="15"/>
      <c r="H137" s="15"/>
      <c r="I137" s="15"/>
      <c r="J137" s="15"/>
      <c r="K137" s="17"/>
    </row>
    <row r="138" spans="1:11" s="14" customFormat="1" x14ac:dyDescent="0.2">
      <c r="A138" s="16"/>
      <c r="B138" s="16"/>
      <c r="C138" s="15"/>
      <c r="D138" s="15"/>
      <c r="E138" s="15"/>
      <c r="F138" s="15"/>
      <c r="G138" s="15"/>
      <c r="H138" s="15"/>
      <c r="I138" s="15"/>
      <c r="J138" s="15"/>
      <c r="K138" s="17"/>
    </row>
    <row r="139" spans="1:11" s="14" customFormat="1" x14ac:dyDescent="0.2">
      <c r="A139" s="16"/>
      <c r="B139" s="16"/>
      <c r="C139" s="15"/>
      <c r="D139" s="15"/>
      <c r="E139" s="15"/>
      <c r="F139" s="15"/>
      <c r="G139" s="15"/>
      <c r="H139" s="15"/>
      <c r="I139" s="15"/>
      <c r="J139" s="15"/>
      <c r="K139" s="17"/>
    </row>
    <row r="140" spans="1:11" s="14" customFormat="1" x14ac:dyDescent="0.2">
      <c r="A140" s="16"/>
      <c r="B140" s="16"/>
      <c r="C140" s="15"/>
      <c r="D140" s="15"/>
      <c r="E140" s="15"/>
      <c r="F140" s="15"/>
      <c r="G140" s="15"/>
      <c r="H140" s="15"/>
      <c r="I140" s="15"/>
      <c r="J140" s="15"/>
      <c r="K140" s="17"/>
    </row>
    <row r="141" spans="1:11" s="14" customFormat="1" x14ac:dyDescent="0.2">
      <c r="A141" s="16"/>
      <c r="B141" s="16"/>
      <c r="C141" s="15"/>
      <c r="D141" s="15"/>
      <c r="E141" s="15"/>
      <c r="F141" s="15"/>
      <c r="G141" s="15"/>
      <c r="H141" s="15"/>
      <c r="I141" s="15"/>
      <c r="J141" s="15"/>
      <c r="K141" s="17"/>
    </row>
    <row r="142" spans="1:11" s="14" customFormat="1" x14ac:dyDescent="0.2">
      <c r="A142" s="16"/>
      <c r="B142" s="16"/>
      <c r="C142" s="15"/>
      <c r="D142" s="15"/>
      <c r="E142" s="15"/>
      <c r="F142" s="15"/>
      <c r="G142" s="15"/>
      <c r="H142" s="15"/>
      <c r="I142" s="15"/>
      <c r="J142" s="15"/>
      <c r="K142" s="17"/>
    </row>
    <row r="143" spans="1:11" s="14" customFormat="1" x14ac:dyDescent="0.2">
      <c r="A143" s="16"/>
      <c r="B143" s="16"/>
      <c r="C143" s="15"/>
      <c r="D143" s="15"/>
      <c r="E143" s="15"/>
      <c r="F143" s="15"/>
      <c r="G143" s="15"/>
      <c r="H143" s="15"/>
      <c r="I143" s="15"/>
      <c r="J143" s="15"/>
      <c r="K143" s="17"/>
    </row>
    <row r="144" spans="1:11" s="14" customFormat="1" x14ac:dyDescent="0.2">
      <c r="A144" s="16"/>
      <c r="B144" s="16"/>
      <c r="C144" s="15"/>
      <c r="D144" s="15"/>
      <c r="E144" s="15"/>
      <c r="F144" s="15"/>
      <c r="G144" s="15"/>
      <c r="H144" s="15"/>
      <c r="I144" s="15"/>
      <c r="J144" s="15"/>
      <c r="K144" s="17"/>
    </row>
    <row r="145" spans="1:11" s="14" customFormat="1" x14ac:dyDescent="0.2">
      <c r="A145" s="16"/>
      <c r="B145" s="16"/>
      <c r="C145" s="15"/>
      <c r="D145" s="15"/>
      <c r="E145" s="15"/>
      <c r="F145" s="15"/>
      <c r="G145" s="15"/>
      <c r="H145" s="15"/>
      <c r="I145" s="15"/>
      <c r="J145" s="15"/>
      <c r="K145" s="17"/>
    </row>
    <row r="146" spans="1:11" s="14" customFormat="1" x14ac:dyDescent="0.2">
      <c r="A146" s="16"/>
      <c r="B146" s="16"/>
      <c r="C146" s="15"/>
      <c r="D146" s="15"/>
      <c r="E146" s="15"/>
      <c r="F146" s="15"/>
      <c r="G146" s="15"/>
      <c r="H146" s="15"/>
      <c r="I146" s="15"/>
      <c r="J146" s="15"/>
      <c r="K146" s="17"/>
    </row>
    <row r="147" spans="1:11" s="14" customFormat="1" x14ac:dyDescent="0.2">
      <c r="A147" s="16"/>
      <c r="B147" s="16"/>
      <c r="C147" s="15"/>
      <c r="D147" s="15"/>
      <c r="E147" s="15"/>
      <c r="F147" s="15"/>
      <c r="G147" s="15"/>
      <c r="H147" s="15"/>
      <c r="I147" s="15"/>
      <c r="J147" s="15"/>
      <c r="K147" s="17"/>
    </row>
    <row r="148" spans="1:11" s="14" customFormat="1" x14ac:dyDescent="0.2">
      <c r="A148" s="16"/>
      <c r="B148" s="16"/>
      <c r="C148" s="15"/>
      <c r="D148" s="15"/>
      <c r="E148" s="15"/>
      <c r="F148" s="15"/>
      <c r="G148" s="15"/>
      <c r="H148" s="15"/>
      <c r="I148" s="15"/>
      <c r="J148" s="15"/>
      <c r="K148" s="17"/>
    </row>
    <row r="149" spans="1:11" s="14" customFormat="1" x14ac:dyDescent="0.2">
      <c r="A149" s="16"/>
      <c r="B149" s="16"/>
      <c r="C149" s="15"/>
      <c r="D149" s="15"/>
      <c r="E149" s="15"/>
      <c r="F149" s="15"/>
      <c r="G149" s="15"/>
      <c r="H149" s="15"/>
      <c r="I149" s="15"/>
      <c r="J149" s="15"/>
      <c r="K149" s="17"/>
    </row>
    <row r="150" spans="1:11" s="14" customFormat="1" x14ac:dyDescent="0.2">
      <c r="A150" s="16"/>
      <c r="B150" s="16"/>
      <c r="C150" s="15"/>
      <c r="D150" s="15"/>
      <c r="E150" s="15"/>
      <c r="F150" s="15"/>
      <c r="G150" s="15"/>
      <c r="H150" s="15"/>
      <c r="I150" s="15"/>
      <c r="J150" s="15"/>
      <c r="K150" s="17"/>
    </row>
    <row r="151" spans="1:11" s="14" customFormat="1" x14ac:dyDescent="0.2">
      <c r="A151" s="16"/>
      <c r="B151" s="16"/>
      <c r="C151" s="15"/>
      <c r="D151" s="15"/>
      <c r="E151" s="15"/>
      <c r="F151" s="15"/>
      <c r="G151" s="15"/>
      <c r="H151" s="15"/>
      <c r="I151" s="15"/>
      <c r="J151" s="15"/>
      <c r="K151" s="17"/>
    </row>
    <row r="152" spans="1:11" s="14" customFormat="1" x14ac:dyDescent="0.2">
      <c r="A152" s="16"/>
      <c r="B152" s="16"/>
      <c r="C152" s="15"/>
      <c r="D152" s="15"/>
      <c r="E152" s="15"/>
      <c r="F152" s="15"/>
      <c r="G152" s="15"/>
      <c r="H152" s="15"/>
      <c r="I152" s="15"/>
      <c r="J152" s="15"/>
      <c r="K152" s="17"/>
    </row>
    <row r="153" spans="1:11" s="14" customFormat="1" x14ac:dyDescent="0.2">
      <c r="A153" s="16"/>
      <c r="B153" s="16"/>
      <c r="C153" s="15"/>
      <c r="D153" s="15"/>
      <c r="E153" s="15"/>
      <c r="F153" s="15"/>
      <c r="G153" s="15"/>
      <c r="H153" s="15"/>
      <c r="I153" s="15"/>
      <c r="J153" s="15"/>
      <c r="K153" s="17"/>
    </row>
    <row r="154" spans="1:11" s="14" customFormat="1" x14ac:dyDescent="0.2">
      <c r="A154" s="16"/>
      <c r="B154" s="16"/>
      <c r="C154" s="15"/>
      <c r="D154" s="15"/>
      <c r="E154" s="15"/>
      <c r="F154" s="15"/>
      <c r="G154" s="15"/>
      <c r="H154" s="15"/>
      <c r="I154" s="15"/>
      <c r="J154" s="15"/>
      <c r="K154" s="17"/>
    </row>
    <row r="155" spans="1:11" s="14" customFormat="1" x14ac:dyDescent="0.2">
      <c r="A155" s="16"/>
      <c r="B155" s="16"/>
      <c r="C155" s="15"/>
      <c r="D155" s="15"/>
      <c r="E155" s="15"/>
      <c r="F155" s="15"/>
      <c r="G155" s="15"/>
      <c r="H155" s="15"/>
      <c r="I155" s="15"/>
      <c r="J155" s="15"/>
      <c r="K155" s="17"/>
    </row>
    <row r="156" spans="1:11" s="14" customFormat="1" x14ac:dyDescent="0.2">
      <c r="A156" s="16"/>
      <c r="B156" s="16"/>
      <c r="C156" s="15"/>
      <c r="D156" s="15"/>
      <c r="E156" s="15"/>
      <c r="F156" s="15"/>
      <c r="G156" s="15"/>
      <c r="H156" s="15"/>
      <c r="I156" s="15"/>
      <c r="J156" s="15"/>
      <c r="K156" s="17"/>
    </row>
    <row r="157" spans="1:11" s="14" customFormat="1" x14ac:dyDescent="0.2">
      <c r="A157" s="16"/>
      <c r="B157" s="16"/>
      <c r="C157" s="15"/>
      <c r="D157" s="15"/>
      <c r="E157" s="15"/>
      <c r="F157" s="15"/>
      <c r="G157" s="15"/>
      <c r="H157" s="15"/>
      <c r="I157" s="15"/>
      <c r="J157" s="15"/>
      <c r="K157" s="17"/>
    </row>
    <row r="158" spans="1:11" s="14" customFormat="1" x14ac:dyDescent="0.2">
      <c r="A158" s="16"/>
      <c r="B158" s="16"/>
      <c r="C158" s="15"/>
      <c r="D158" s="15"/>
      <c r="E158" s="15"/>
      <c r="F158" s="15"/>
      <c r="G158" s="15"/>
      <c r="H158" s="15"/>
      <c r="I158" s="15"/>
      <c r="J158" s="15"/>
      <c r="K158" s="17"/>
    </row>
    <row r="159" spans="1:11" s="14" customFormat="1" x14ac:dyDescent="0.2">
      <c r="A159" s="16"/>
      <c r="B159" s="16"/>
      <c r="C159" s="15"/>
      <c r="D159" s="15"/>
      <c r="E159" s="15"/>
      <c r="F159" s="15"/>
      <c r="G159" s="15"/>
      <c r="H159" s="15"/>
      <c r="I159" s="15"/>
      <c r="J159" s="15"/>
      <c r="K159" s="17"/>
    </row>
    <row r="160" spans="1:11" s="14" customFormat="1" x14ac:dyDescent="0.2">
      <c r="A160" s="16"/>
      <c r="B160" s="16"/>
      <c r="C160" s="15"/>
      <c r="D160" s="15"/>
      <c r="E160" s="15"/>
      <c r="F160" s="15"/>
      <c r="G160" s="15"/>
      <c r="H160" s="15"/>
      <c r="I160" s="15"/>
      <c r="J160" s="15"/>
      <c r="K160" s="17"/>
    </row>
    <row r="161" spans="1:11" s="14" customFormat="1" x14ac:dyDescent="0.2">
      <c r="A161" s="16"/>
      <c r="B161" s="16"/>
      <c r="C161" s="15"/>
      <c r="D161" s="15"/>
      <c r="E161" s="15"/>
      <c r="F161" s="15"/>
      <c r="G161" s="15"/>
      <c r="H161" s="15"/>
      <c r="I161" s="15"/>
      <c r="J161" s="15"/>
      <c r="K161" s="17"/>
    </row>
    <row r="162" spans="1:11" s="14" customFormat="1" x14ac:dyDescent="0.2">
      <c r="A162" s="16"/>
      <c r="B162" s="16"/>
      <c r="C162" s="15"/>
      <c r="D162" s="15"/>
      <c r="E162" s="15"/>
      <c r="F162" s="15"/>
      <c r="G162" s="15"/>
      <c r="H162" s="15"/>
      <c r="I162" s="15"/>
      <c r="J162" s="15"/>
      <c r="K162" s="17"/>
    </row>
    <row r="163" spans="1:11" s="14" customFormat="1" x14ac:dyDescent="0.2">
      <c r="A163" s="16"/>
      <c r="B163" s="16"/>
      <c r="C163" s="15"/>
      <c r="D163" s="15"/>
      <c r="E163" s="15"/>
      <c r="F163" s="15"/>
      <c r="G163" s="15"/>
      <c r="H163" s="15"/>
      <c r="I163" s="15"/>
      <c r="J163" s="15"/>
      <c r="K163" s="17"/>
    </row>
    <row r="164" spans="1:11" s="14" customFormat="1" x14ac:dyDescent="0.2">
      <c r="A164" s="16"/>
      <c r="B164" s="16"/>
      <c r="C164" s="15"/>
      <c r="D164" s="15"/>
      <c r="E164" s="15"/>
      <c r="F164" s="15"/>
      <c r="G164" s="15"/>
      <c r="H164" s="15"/>
      <c r="I164" s="15"/>
      <c r="J164" s="15"/>
      <c r="K164" s="17"/>
    </row>
    <row r="165" spans="1:11" s="14" customFormat="1" x14ac:dyDescent="0.2">
      <c r="A165" s="16"/>
      <c r="B165" s="16"/>
      <c r="C165" s="15"/>
      <c r="D165" s="15"/>
      <c r="E165" s="15"/>
      <c r="F165" s="15"/>
      <c r="G165" s="15"/>
      <c r="H165" s="15"/>
      <c r="I165" s="15"/>
      <c r="J165" s="15"/>
      <c r="K165" s="17"/>
    </row>
    <row r="166" spans="1:11" s="14" customFormat="1" x14ac:dyDescent="0.2">
      <c r="A166" s="16"/>
      <c r="B166" s="16"/>
      <c r="C166" s="15"/>
      <c r="D166" s="15"/>
      <c r="E166" s="15"/>
      <c r="F166" s="15"/>
      <c r="G166" s="15"/>
      <c r="H166" s="15"/>
      <c r="I166" s="15"/>
      <c r="J166" s="15"/>
      <c r="K166" s="17"/>
    </row>
    <row r="167" spans="1:11" s="14" customFormat="1" x14ac:dyDescent="0.2">
      <c r="A167" s="16"/>
      <c r="B167" s="16"/>
      <c r="C167" s="15"/>
      <c r="D167" s="15"/>
      <c r="E167" s="15"/>
      <c r="F167" s="15"/>
      <c r="G167" s="15"/>
      <c r="H167" s="15"/>
      <c r="I167" s="15"/>
      <c r="J167" s="15"/>
      <c r="K167" s="17"/>
    </row>
    <row r="168" spans="1:11" s="14" customFormat="1" x14ac:dyDescent="0.2">
      <c r="A168" s="16"/>
      <c r="B168" s="16"/>
      <c r="C168" s="15"/>
      <c r="D168" s="15"/>
      <c r="E168" s="15"/>
      <c r="F168" s="15"/>
      <c r="G168" s="15"/>
      <c r="H168" s="15"/>
      <c r="I168" s="15"/>
      <c r="J168" s="15"/>
      <c r="K168" s="17"/>
    </row>
    <row r="169" spans="1:11" s="14" customFormat="1" x14ac:dyDescent="0.2">
      <c r="A169" s="16"/>
      <c r="B169" s="16"/>
      <c r="C169" s="15"/>
      <c r="D169" s="15"/>
      <c r="E169" s="15"/>
      <c r="F169" s="15"/>
      <c r="G169" s="15"/>
      <c r="H169" s="15"/>
      <c r="I169" s="15"/>
      <c r="J169" s="15"/>
      <c r="K169" s="17"/>
    </row>
    <row r="170" spans="1:11" s="14" customFormat="1" x14ac:dyDescent="0.2">
      <c r="A170" s="16"/>
      <c r="B170" s="16"/>
      <c r="C170" s="15"/>
      <c r="D170" s="15"/>
      <c r="E170" s="15"/>
      <c r="F170" s="15"/>
      <c r="G170" s="15"/>
      <c r="H170" s="15"/>
      <c r="I170" s="15"/>
      <c r="J170" s="15"/>
      <c r="K170" s="17"/>
    </row>
    <row r="171" spans="1:11" s="14" customFormat="1" x14ac:dyDescent="0.2">
      <c r="A171" s="16"/>
      <c r="B171" s="16"/>
      <c r="C171" s="15"/>
      <c r="D171" s="15"/>
      <c r="E171" s="15"/>
      <c r="F171" s="15"/>
      <c r="G171" s="15"/>
      <c r="H171" s="15"/>
      <c r="I171" s="15"/>
      <c r="J171" s="15"/>
      <c r="K171" s="17"/>
    </row>
    <row r="172" spans="1:11" s="14" customFormat="1" x14ac:dyDescent="0.2">
      <c r="A172" s="16"/>
      <c r="B172" s="16"/>
      <c r="C172" s="15"/>
      <c r="D172" s="15"/>
      <c r="E172" s="15"/>
      <c r="F172" s="15"/>
      <c r="G172" s="15"/>
      <c r="H172" s="15"/>
      <c r="I172" s="15"/>
      <c r="J172" s="15"/>
      <c r="K172" s="17"/>
    </row>
    <row r="173" spans="1:11" s="14" customFormat="1" x14ac:dyDescent="0.2">
      <c r="A173" s="16"/>
      <c r="B173" s="16"/>
      <c r="C173" s="15"/>
      <c r="D173" s="15"/>
      <c r="E173" s="15"/>
      <c r="F173" s="15"/>
      <c r="G173" s="15"/>
      <c r="H173" s="15"/>
      <c r="I173" s="15"/>
      <c r="J173" s="15"/>
      <c r="K173" s="17"/>
    </row>
    <row r="174" spans="1:11" s="14" customFormat="1" x14ac:dyDescent="0.2">
      <c r="A174" s="16"/>
      <c r="B174" s="16"/>
      <c r="C174" s="15"/>
      <c r="D174" s="15"/>
      <c r="E174" s="15"/>
      <c r="F174" s="15"/>
      <c r="G174" s="15"/>
      <c r="H174" s="15"/>
      <c r="I174" s="15"/>
      <c r="J174" s="15"/>
      <c r="K174" s="17"/>
    </row>
    <row r="175" spans="1:11" s="14" customFormat="1" x14ac:dyDescent="0.2">
      <c r="A175" s="16"/>
      <c r="B175" s="16"/>
      <c r="C175" s="15"/>
      <c r="D175" s="15"/>
      <c r="E175" s="15"/>
      <c r="F175" s="15"/>
      <c r="G175" s="15"/>
      <c r="H175" s="15"/>
      <c r="I175" s="15"/>
      <c r="J175" s="15"/>
      <c r="K175" s="17"/>
    </row>
    <row r="176" spans="1:11" s="14" customFormat="1" x14ac:dyDescent="0.2">
      <c r="A176" s="16"/>
      <c r="B176" s="16"/>
      <c r="C176" s="15"/>
      <c r="D176" s="15"/>
      <c r="E176" s="15"/>
      <c r="F176" s="15"/>
      <c r="G176" s="15"/>
      <c r="H176" s="15"/>
      <c r="I176" s="15"/>
      <c r="J176" s="15"/>
      <c r="K176" s="17"/>
    </row>
    <row r="177" spans="1:11" s="14" customFormat="1" x14ac:dyDescent="0.2">
      <c r="A177" s="16"/>
      <c r="B177" s="16"/>
      <c r="C177" s="15"/>
      <c r="D177" s="15"/>
      <c r="E177" s="15"/>
      <c r="F177" s="15"/>
      <c r="G177" s="15"/>
      <c r="H177" s="15"/>
      <c r="I177" s="15"/>
      <c r="J177" s="15"/>
      <c r="K177" s="17"/>
    </row>
    <row r="178" spans="1:11" s="14" customFormat="1" x14ac:dyDescent="0.2">
      <c r="A178" s="16"/>
      <c r="B178" s="16"/>
      <c r="C178" s="15"/>
      <c r="D178" s="15"/>
      <c r="E178" s="15"/>
      <c r="F178" s="15"/>
      <c r="G178" s="15"/>
      <c r="H178" s="15"/>
      <c r="I178" s="15"/>
      <c r="J178" s="15"/>
      <c r="K178" s="17"/>
    </row>
    <row r="179" spans="1:11" s="14" customFormat="1" x14ac:dyDescent="0.2">
      <c r="A179" s="16"/>
      <c r="B179" s="16"/>
      <c r="C179" s="15"/>
      <c r="D179" s="15"/>
      <c r="E179" s="15"/>
      <c r="F179" s="15"/>
      <c r="G179" s="15"/>
      <c r="H179" s="15"/>
      <c r="I179" s="15"/>
      <c r="J179" s="15"/>
      <c r="K179" s="17"/>
    </row>
    <row r="180" spans="1:11" s="14" customFormat="1" x14ac:dyDescent="0.2">
      <c r="A180" s="16"/>
      <c r="B180" s="16"/>
      <c r="C180" s="15"/>
      <c r="D180" s="15"/>
      <c r="E180" s="15"/>
      <c r="F180" s="15"/>
      <c r="G180" s="15"/>
      <c r="H180" s="15"/>
      <c r="I180" s="15"/>
      <c r="J180" s="15"/>
      <c r="K180" s="17"/>
    </row>
    <row r="181" spans="1:11" s="14" customFormat="1" x14ac:dyDescent="0.2">
      <c r="A181" s="16"/>
      <c r="B181" s="16"/>
      <c r="C181" s="15"/>
      <c r="D181" s="15"/>
      <c r="E181" s="15"/>
      <c r="F181" s="15"/>
      <c r="G181" s="15"/>
      <c r="H181" s="15"/>
      <c r="I181" s="15"/>
      <c r="J181" s="15"/>
      <c r="K181" s="17"/>
    </row>
    <row r="182" spans="1:11" s="14" customFormat="1" x14ac:dyDescent="0.2">
      <c r="A182" s="16"/>
      <c r="B182" s="16"/>
      <c r="C182" s="15"/>
      <c r="D182" s="15"/>
      <c r="E182" s="15"/>
      <c r="F182" s="15"/>
      <c r="G182" s="15"/>
      <c r="H182" s="15"/>
      <c r="I182" s="15"/>
      <c r="J182" s="15"/>
      <c r="K182" s="17"/>
    </row>
    <row r="183" spans="1:11" s="14" customFormat="1" x14ac:dyDescent="0.2">
      <c r="A183" s="16"/>
      <c r="B183" s="16"/>
      <c r="C183" s="15"/>
      <c r="D183" s="15"/>
      <c r="E183" s="15"/>
      <c r="F183" s="15"/>
      <c r="G183" s="15"/>
      <c r="H183" s="15"/>
      <c r="I183" s="15"/>
      <c r="J183" s="15"/>
      <c r="K183" s="17"/>
    </row>
    <row r="184" spans="1:11" s="14" customFormat="1" x14ac:dyDescent="0.2">
      <c r="A184" s="16"/>
      <c r="B184" s="16"/>
      <c r="C184" s="15"/>
      <c r="D184" s="15"/>
      <c r="E184" s="15"/>
      <c r="F184" s="15"/>
      <c r="G184" s="15"/>
      <c r="H184" s="15"/>
      <c r="I184" s="15"/>
      <c r="J184" s="15"/>
      <c r="K184" s="17"/>
    </row>
    <row r="185" spans="1:11" s="14" customFormat="1" x14ac:dyDescent="0.2">
      <c r="A185" s="16"/>
      <c r="B185" s="16"/>
      <c r="C185" s="15"/>
      <c r="D185" s="15"/>
      <c r="E185" s="15"/>
      <c r="F185" s="15"/>
      <c r="G185" s="15"/>
      <c r="H185" s="15"/>
      <c r="I185" s="15"/>
      <c r="J185" s="15"/>
      <c r="K185" s="17"/>
    </row>
    <row r="186" spans="1:11" s="14" customFormat="1" x14ac:dyDescent="0.2">
      <c r="A186" s="16"/>
      <c r="B186" s="16"/>
      <c r="C186" s="15"/>
      <c r="D186" s="15"/>
      <c r="E186" s="15"/>
      <c r="F186" s="15"/>
      <c r="G186" s="15"/>
      <c r="H186" s="15"/>
      <c r="I186" s="15"/>
      <c r="J186" s="15"/>
      <c r="K186" s="17"/>
    </row>
    <row r="187" spans="1:11" s="14" customFormat="1" x14ac:dyDescent="0.2">
      <c r="A187" s="16"/>
      <c r="B187" s="16"/>
      <c r="C187" s="15"/>
      <c r="D187" s="15"/>
      <c r="E187" s="15"/>
      <c r="F187" s="15"/>
      <c r="G187" s="15"/>
      <c r="H187" s="15"/>
      <c r="I187" s="15"/>
      <c r="J187" s="15"/>
      <c r="K187" s="17"/>
    </row>
    <row r="188" spans="1:11" s="14" customFormat="1" x14ac:dyDescent="0.2">
      <c r="A188" s="16"/>
      <c r="B188" s="16"/>
      <c r="C188" s="15"/>
      <c r="D188" s="15"/>
      <c r="E188" s="15"/>
      <c r="F188" s="15"/>
      <c r="G188" s="15"/>
      <c r="H188" s="15"/>
      <c r="I188" s="15"/>
      <c r="J188" s="15"/>
      <c r="K188" s="17"/>
    </row>
    <row r="189" spans="1:11" s="14" customFormat="1" x14ac:dyDescent="0.2">
      <c r="A189" s="16"/>
      <c r="B189" s="16"/>
      <c r="C189" s="15"/>
      <c r="D189" s="15"/>
      <c r="E189" s="15"/>
      <c r="F189" s="15"/>
      <c r="G189" s="15"/>
      <c r="H189" s="15"/>
      <c r="I189" s="15"/>
      <c r="J189" s="15"/>
      <c r="K189" s="17"/>
    </row>
    <row r="190" spans="1:11" s="14" customFormat="1" x14ac:dyDescent="0.2">
      <c r="A190" s="16"/>
      <c r="B190" s="16"/>
      <c r="C190" s="15"/>
      <c r="D190" s="15"/>
      <c r="E190" s="15"/>
      <c r="F190" s="15"/>
      <c r="G190" s="15"/>
      <c r="H190" s="15"/>
      <c r="I190" s="15"/>
      <c r="J190" s="15"/>
      <c r="K190" s="17"/>
    </row>
    <row r="191" spans="1:11" s="14" customFormat="1" x14ac:dyDescent="0.2">
      <c r="A191" s="16"/>
      <c r="B191" s="16"/>
      <c r="C191" s="15"/>
      <c r="D191" s="15"/>
      <c r="E191" s="15"/>
      <c r="F191" s="15"/>
      <c r="G191" s="15"/>
      <c r="H191" s="15"/>
      <c r="I191" s="15"/>
      <c r="J191" s="15"/>
      <c r="K191" s="17"/>
    </row>
    <row r="192" spans="1:11" s="14" customFormat="1" x14ac:dyDescent="0.2">
      <c r="A192" s="16"/>
      <c r="B192" s="16"/>
      <c r="C192" s="15"/>
      <c r="D192" s="15"/>
      <c r="E192" s="15"/>
      <c r="F192" s="15"/>
      <c r="G192" s="15"/>
      <c r="H192" s="15"/>
      <c r="I192" s="15"/>
      <c r="J192" s="15"/>
      <c r="K192" s="17"/>
    </row>
    <row r="193" spans="1:11" s="14" customFormat="1" x14ac:dyDescent="0.2">
      <c r="A193" s="16"/>
      <c r="B193" s="16"/>
      <c r="C193" s="15"/>
      <c r="D193" s="15"/>
      <c r="E193" s="15"/>
      <c r="F193" s="15"/>
      <c r="G193" s="15"/>
      <c r="H193" s="15"/>
      <c r="I193" s="15"/>
      <c r="J193" s="15"/>
      <c r="K193" s="17"/>
    </row>
    <row r="194" spans="1:11" s="16" customFormat="1" x14ac:dyDescent="0.2">
      <c r="C194" s="15"/>
      <c r="D194" s="15"/>
      <c r="E194" s="15"/>
      <c r="F194" s="15"/>
      <c r="G194" s="15"/>
      <c r="H194" s="15"/>
      <c r="I194" s="15"/>
      <c r="J194" s="15"/>
      <c r="K194" s="17"/>
    </row>
    <row r="195" spans="1:11" s="16" customFormat="1" x14ac:dyDescent="0.2">
      <c r="C195" s="15"/>
      <c r="D195" s="15"/>
      <c r="E195" s="15"/>
      <c r="F195" s="15"/>
      <c r="G195" s="15"/>
      <c r="H195" s="15"/>
      <c r="I195" s="15"/>
      <c r="J195" s="15"/>
      <c r="K195" s="17"/>
    </row>
  </sheetData>
  <sheetProtection algorithmName="SHA-512" hashValue="mdEiZlqfyB9Uq7+BqpHI+HjtvJ6UwhQZHbV803L3AA5ltDfYgc3mIxjqdJVDiCTRIP7HSU45TQAgh7N3eSscZA==" saltValue="PuKDIvJPb9GTbpv3Eo2/Jg==" spinCount="100000" sheet="1" objects="1" scenarios="1"/>
  <phoneticPr fontId="8" type="noConversion"/>
  <dataValidations count="1">
    <dataValidation type="list" showInputMessage="1" showErrorMessage="1" sqref="D2:D4 E5:E15 E16:E86" xr:uid="{889A96C9-9891-4B10-A5BE-9393F3375123}">
      <formula1>"JV,V"</formula1>
    </dataValidation>
  </dataValidations>
  <pageMargins left="0.7" right="0.7" top="0.75" bottom="0.75" header="0.3" footer="0.3"/>
  <pageSetup scale="54" fitToHeight="0" orientation="landscape" r:id="rId1"/>
  <headerFooter>
    <oddFooter>Page &amp;P&amp;R&amp;F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N13"/>
  <sheetViews>
    <sheetView zoomScale="90" zoomScaleNormal="90" workbookViewId="0">
      <selection activeCell="H24" sqref="H24"/>
    </sheetView>
  </sheetViews>
  <sheetFormatPr defaultColWidth="12.5703125" defaultRowHeight="15" customHeight="1" x14ac:dyDescent="0.25"/>
  <cols>
    <col min="1" max="1" width="10.7109375" style="5" customWidth="1"/>
    <col min="2" max="2" width="10.7109375" style="7" customWidth="1"/>
    <col min="3" max="3" width="10.7109375" style="9" customWidth="1"/>
    <col min="4" max="5" width="10.7109375" style="1" customWidth="1"/>
    <col min="6" max="9" width="14.7109375" style="1" customWidth="1"/>
    <col min="10" max="10" width="62.5703125" style="1" bestFit="1" customWidth="1"/>
    <col min="11" max="14" width="9.7109375" style="1" customWidth="1"/>
    <col min="15" max="27" width="8.5703125" style="1" customWidth="1"/>
    <col min="28" max="16384" width="12.5703125" style="1"/>
  </cols>
  <sheetData>
    <row r="1" spans="1:14" ht="15" customHeight="1" thickBot="1" x14ac:dyDescent="0.3">
      <c r="A1" s="236" t="s">
        <v>69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</row>
    <row r="2" spans="1:14" ht="15" customHeight="1" x14ac:dyDescent="0.25">
      <c r="A2" s="29" t="s">
        <v>53</v>
      </c>
      <c r="B2" s="22" t="s">
        <v>23</v>
      </c>
      <c r="C2" s="23" t="s">
        <v>42</v>
      </c>
      <c r="D2" s="24" t="s">
        <v>24</v>
      </c>
      <c r="E2" s="24" t="s">
        <v>63</v>
      </c>
      <c r="F2" s="24" t="s">
        <v>62</v>
      </c>
      <c r="G2" s="25" t="s">
        <v>65</v>
      </c>
      <c r="H2" s="24" t="s">
        <v>66</v>
      </c>
      <c r="I2" s="24" t="s">
        <v>40</v>
      </c>
      <c r="J2" s="27" t="s">
        <v>26</v>
      </c>
      <c r="K2" s="115" t="s">
        <v>99</v>
      </c>
      <c r="L2" s="33" t="s">
        <v>100</v>
      </c>
      <c r="M2" s="33" t="s">
        <v>6</v>
      </c>
      <c r="N2" s="33" t="s">
        <v>7</v>
      </c>
    </row>
    <row r="3" spans="1:14" ht="15" customHeight="1" x14ac:dyDescent="0.25">
      <c r="A3" s="142">
        <v>1</v>
      </c>
      <c r="B3" s="145">
        <v>45724</v>
      </c>
      <c r="C3" s="142" t="s">
        <v>44</v>
      </c>
      <c r="D3" s="143">
        <v>0.46875</v>
      </c>
      <c r="E3" s="142" t="s">
        <v>27</v>
      </c>
      <c r="F3" s="142" t="s">
        <v>12</v>
      </c>
      <c r="G3" s="142" t="s">
        <v>10</v>
      </c>
      <c r="H3" s="142">
        <v>9</v>
      </c>
      <c r="I3" s="142">
        <v>12</v>
      </c>
      <c r="J3" s="196" t="s">
        <v>30</v>
      </c>
      <c r="K3" s="170">
        <v>1</v>
      </c>
      <c r="L3" s="159"/>
      <c r="M3" s="159">
        <v>12</v>
      </c>
      <c r="N3" s="173">
        <v>9</v>
      </c>
    </row>
    <row r="4" spans="1:14" ht="15" customHeight="1" x14ac:dyDescent="0.25">
      <c r="A4" s="142">
        <v>2</v>
      </c>
      <c r="B4" s="145">
        <v>45727</v>
      </c>
      <c r="C4" s="142" t="s">
        <v>46</v>
      </c>
      <c r="D4" s="143">
        <v>0.72916666666666663</v>
      </c>
      <c r="E4" s="142" t="s">
        <v>27</v>
      </c>
      <c r="F4" s="142" t="s">
        <v>10</v>
      </c>
      <c r="G4" s="142" t="s">
        <v>16</v>
      </c>
      <c r="H4" s="142">
        <v>20</v>
      </c>
      <c r="I4" s="142">
        <v>10</v>
      </c>
      <c r="J4" s="196" t="s">
        <v>30</v>
      </c>
      <c r="K4" s="170">
        <v>1</v>
      </c>
      <c r="L4" s="159"/>
      <c r="M4" s="159">
        <v>20</v>
      </c>
      <c r="N4" s="173">
        <v>10</v>
      </c>
    </row>
    <row r="5" spans="1:14" ht="15" customHeight="1" x14ac:dyDescent="0.25">
      <c r="A5" s="142">
        <v>3</v>
      </c>
      <c r="B5" s="145">
        <v>45740</v>
      </c>
      <c r="C5" s="142" t="s">
        <v>45</v>
      </c>
      <c r="D5" s="168">
        <v>0.78125</v>
      </c>
      <c r="E5" s="142" t="s">
        <v>27</v>
      </c>
      <c r="F5" s="142" t="s">
        <v>10</v>
      </c>
      <c r="G5" s="142" t="s">
        <v>8</v>
      </c>
      <c r="H5" s="142">
        <v>12</v>
      </c>
      <c r="I5" s="142">
        <v>13</v>
      </c>
      <c r="J5" s="196" t="s">
        <v>30</v>
      </c>
      <c r="K5" s="170"/>
      <c r="L5" s="159">
        <v>1</v>
      </c>
      <c r="M5" s="159">
        <v>12</v>
      </c>
      <c r="N5" s="173">
        <v>13</v>
      </c>
    </row>
    <row r="6" spans="1:14" ht="15" customHeight="1" x14ac:dyDescent="0.25">
      <c r="A6" s="142">
        <v>3</v>
      </c>
      <c r="B6" s="145">
        <v>45741</v>
      </c>
      <c r="C6" s="142" t="s">
        <v>46</v>
      </c>
      <c r="D6" s="168">
        <v>0.78125</v>
      </c>
      <c r="E6" s="142" t="s">
        <v>27</v>
      </c>
      <c r="F6" s="142" t="s">
        <v>19</v>
      </c>
      <c r="G6" s="142" t="s">
        <v>10</v>
      </c>
      <c r="H6" s="142">
        <v>16</v>
      </c>
      <c r="I6" s="142">
        <v>5</v>
      </c>
      <c r="J6" s="196" t="s">
        <v>34</v>
      </c>
      <c r="K6" s="170"/>
      <c r="L6" s="159">
        <v>1</v>
      </c>
      <c r="M6" s="159">
        <v>5</v>
      </c>
      <c r="N6" s="173">
        <v>16</v>
      </c>
    </row>
    <row r="7" spans="1:14" ht="15" customHeight="1" x14ac:dyDescent="0.25">
      <c r="A7" s="36">
        <v>5</v>
      </c>
      <c r="B7" s="39">
        <v>45757</v>
      </c>
      <c r="C7" s="36" t="s">
        <v>43</v>
      </c>
      <c r="D7" s="37">
        <v>0.72916666666666663</v>
      </c>
      <c r="E7" s="36" t="s">
        <v>27</v>
      </c>
      <c r="F7" s="36" t="s">
        <v>10</v>
      </c>
      <c r="G7" s="36" t="s">
        <v>14</v>
      </c>
      <c r="H7" s="36"/>
      <c r="I7" s="36"/>
      <c r="J7" s="114" t="s">
        <v>30</v>
      </c>
      <c r="K7" s="147"/>
      <c r="L7" s="38"/>
      <c r="M7" s="38"/>
      <c r="N7" s="163"/>
    </row>
    <row r="8" spans="1:14" ht="15" customHeight="1" x14ac:dyDescent="0.25">
      <c r="A8" s="36">
        <v>6</v>
      </c>
      <c r="B8" s="39">
        <v>45764</v>
      </c>
      <c r="C8" s="36" t="s">
        <v>43</v>
      </c>
      <c r="D8" s="37">
        <v>0.77083333333333337</v>
      </c>
      <c r="E8" s="36" t="s">
        <v>27</v>
      </c>
      <c r="F8" s="36" t="s">
        <v>51</v>
      </c>
      <c r="G8" s="36" t="s">
        <v>10</v>
      </c>
      <c r="H8" s="36"/>
      <c r="I8" s="36"/>
      <c r="J8" s="114" t="s">
        <v>32</v>
      </c>
      <c r="K8" s="147"/>
      <c r="L8" s="38"/>
      <c r="M8" s="38"/>
      <c r="N8" s="163"/>
    </row>
    <row r="9" spans="1:14" ht="15" customHeight="1" x14ac:dyDescent="0.25">
      <c r="A9" s="36">
        <v>7</v>
      </c>
      <c r="B9" s="39">
        <v>45769</v>
      </c>
      <c r="C9" s="36" t="s">
        <v>46</v>
      </c>
      <c r="D9" s="43">
        <v>0.77083333333333337</v>
      </c>
      <c r="E9" s="36" t="s">
        <v>27</v>
      </c>
      <c r="F9" s="36" t="s">
        <v>50</v>
      </c>
      <c r="G9" s="36" t="s">
        <v>10</v>
      </c>
      <c r="H9" s="36"/>
      <c r="I9" s="36"/>
      <c r="J9" s="114" t="s">
        <v>29</v>
      </c>
      <c r="K9" s="147"/>
      <c r="L9" s="38"/>
      <c r="M9" s="38"/>
      <c r="N9" s="163"/>
    </row>
    <row r="10" spans="1:14" ht="15" customHeight="1" x14ac:dyDescent="0.25">
      <c r="A10" s="36">
        <v>8</v>
      </c>
      <c r="B10" s="39">
        <v>45776</v>
      </c>
      <c r="C10" s="38" t="s">
        <v>46</v>
      </c>
      <c r="D10" s="43">
        <v>0.72916666666666663</v>
      </c>
      <c r="E10" s="36" t="s">
        <v>27</v>
      </c>
      <c r="F10" s="42" t="s">
        <v>10</v>
      </c>
      <c r="G10" s="36" t="s">
        <v>17</v>
      </c>
      <c r="H10" s="42"/>
      <c r="I10" s="36"/>
      <c r="J10" s="114" t="s">
        <v>30</v>
      </c>
      <c r="K10" s="148"/>
      <c r="L10" s="149"/>
      <c r="M10" s="38"/>
      <c r="N10" s="163"/>
    </row>
    <row r="11" spans="1:14" ht="15" customHeight="1" x14ac:dyDescent="0.25">
      <c r="A11" s="36">
        <v>9</v>
      </c>
      <c r="B11" s="88">
        <v>45783</v>
      </c>
      <c r="C11" s="42" t="s">
        <v>46</v>
      </c>
      <c r="D11" s="37">
        <v>0.75</v>
      </c>
      <c r="E11" s="36" t="s">
        <v>27</v>
      </c>
      <c r="F11" s="36" t="s">
        <v>10</v>
      </c>
      <c r="G11" s="36" t="s">
        <v>11</v>
      </c>
      <c r="H11" s="35"/>
      <c r="I11" s="36"/>
      <c r="J11" s="114" t="s">
        <v>30</v>
      </c>
      <c r="K11" s="150"/>
      <c r="L11" s="95"/>
      <c r="M11" s="38"/>
      <c r="N11" s="163"/>
    </row>
    <row r="12" spans="1:14" ht="15" customHeight="1" x14ac:dyDescent="0.25">
      <c r="A12" s="36">
        <v>9</v>
      </c>
      <c r="B12" s="39">
        <v>45787</v>
      </c>
      <c r="C12" s="36" t="s">
        <v>44</v>
      </c>
      <c r="D12" s="37">
        <v>0.625</v>
      </c>
      <c r="E12" s="36" t="s">
        <v>27</v>
      </c>
      <c r="F12" s="36" t="s">
        <v>21</v>
      </c>
      <c r="G12" s="36" t="s">
        <v>10</v>
      </c>
      <c r="H12" s="36"/>
      <c r="I12" s="36"/>
      <c r="J12" s="114" t="s">
        <v>90</v>
      </c>
      <c r="K12" s="147"/>
      <c r="L12" s="38"/>
      <c r="M12" s="38"/>
      <c r="N12" s="163"/>
    </row>
    <row r="13" spans="1:14" ht="15" customHeight="1" x14ac:dyDescent="0.25">
      <c r="A13" s="42"/>
      <c r="B13" s="39"/>
      <c r="C13" s="42"/>
      <c r="D13" s="43"/>
      <c r="E13" s="42"/>
      <c r="F13" s="42"/>
      <c r="G13" s="42"/>
      <c r="H13" s="42"/>
      <c r="I13" s="42"/>
      <c r="J13" s="53"/>
      <c r="K13" s="165">
        <f>+SUM(Table14[[Win ]])</f>
        <v>2</v>
      </c>
      <c r="L13" s="165">
        <f>+SUM(Table14[Loss])</f>
        <v>2</v>
      </c>
      <c r="M13" s="165">
        <f>+SUM(Table14[GF])</f>
        <v>49</v>
      </c>
      <c r="N13" s="165">
        <f>+SUM(Table14[GA])</f>
        <v>48</v>
      </c>
    </row>
  </sheetData>
  <mergeCells count="1">
    <mergeCell ref="A1:N1"/>
  </mergeCells>
  <dataValidations count="1">
    <dataValidation type="list" showInputMessage="1" showErrorMessage="1" sqref="E3:E12" xr:uid="{E1AD4338-5E38-4694-B809-6183BEAA0A4C}">
      <formula1>"JV,V"</formula1>
    </dataValidation>
  </dataValidations>
  <pageMargins left="0.7" right="0.7" top="0.75" bottom="0.75" header="0" footer="0"/>
  <pageSetup scale="67" orientation="landscape" r:id="rId1"/>
  <headerFooter>
    <oddFooter>&amp;F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N23"/>
  <sheetViews>
    <sheetView zoomScale="90" zoomScaleNormal="90" workbookViewId="0">
      <selection activeCell="G35" sqref="G35"/>
    </sheetView>
  </sheetViews>
  <sheetFormatPr defaultColWidth="12.5703125" defaultRowHeight="15" customHeight="1" x14ac:dyDescent="0.2"/>
  <cols>
    <col min="1" max="5" width="10.7109375" customWidth="1"/>
    <col min="6" max="9" width="14.7109375" customWidth="1"/>
    <col min="10" max="10" width="62.5703125" bestFit="1" customWidth="1"/>
    <col min="11" max="14" width="9.7109375" customWidth="1"/>
  </cols>
  <sheetData>
    <row r="1" spans="1:14" s="1" customFormat="1" ht="15" customHeight="1" x14ac:dyDescent="0.25">
      <c r="A1" s="236" t="s">
        <v>70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</row>
    <row r="2" spans="1:14" s="1" customFormat="1" ht="15.75" customHeight="1" x14ac:dyDescent="0.25">
      <c r="A2" s="29" t="s">
        <v>61</v>
      </c>
      <c r="B2" s="22" t="s">
        <v>23</v>
      </c>
      <c r="C2" s="23" t="s">
        <v>42</v>
      </c>
      <c r="D2" s="24" t="s">
        <v>24</v>
      </c>
      <c r="E2" s="24" t="s">
        <v>63</v>
      </c>
      <c r="F2" s="24" t="s">
        <v>62</v>
      </c>
      <c r="G2" s="25" t="s">
        <v>25</v>
      </c>
      <c r="H2" s="24" t="s">
        <v>41</v>
      </c>
      <c r="I2" s="24" t="s">
        <v>40</v>
      </c>
      <c r="J2" s="26" t="s">
        <v>26</v>
      </c>
      <c r="K2" s="30" t="s">
        <v>101</v>
      </c>
      <c r="L2" s="24" t="s">
        <v>100</v>
      </c>
      <c r="M2" s="24" t="s">
        <v>6</v>
      </c>
      <c r="N2" s="24" t="s">
        <v>7</v>
      </c>
    </row>
    <row r="3" spans="1:14" s="20" customFormat="1" ht="12.75" x14ac:dyDescent="0.2">
      <c r="A3" s="142">
        <v>1</v>
      </c>
      <c r="B3" s="145">
        <v>45724</v>
      </c>
      <c r="C3" s="142" t="s">
        <v>44</v>
      </c>
      <c r="D3" s="143">
        <v>0.54166666666666663</v>
      </c>
      <c r="E3" s="142" t="s">
        <v>0</v>
      </c>
      <c r="F3" s="142" t="s">
        <v>49</v>
      </c>
      <c r="G3" s="142" t="s">
        <v>21</v>
      </c>
      <c r="H3" s="142">
        <v>10</v>
      </c>
      <c r="I3" s="142">
        <v>4</v>
      </c>
      <c r="J3" s="144" t="s">
        <v>31</v>
      </c>
      <c r="K3" s="170">
        <v>1</v>
      </c>
      <c r="L3" s="159"/>
      <c r="M3" s="171">
        <v>10</v>
      </c>
      <c r="N3" s="172">
        <v>4</v>
      </c>
    </row>
    <row r="4" spans="1:14" s="18" customFormat="1" ht="12.75" x14ac:dyDescent="0.2">
      <c r="A4" s="142">
        <v>2</v>
      </c>
      <c r="B4" s="145">
        <v>45728</v>
      </c>
      <c r="C4" s="146" t="s">
        <v>47</v>
      </c>
      <c r="D4" s="167">
        <v>0.75</v>
      </c>
      <c r="E4" s="140" t="s">
        <v>0</v>
      </c>
      <c r="F4" s="140" t="s">
        <v>8</v>
      </c>
      <c r="G4" s="140" t="s">
        <v>9</v>
      </c>
      <c r="H4" s="140">
        <v>4</v>
      </c>
      <c r="I4" s="140">
        <v>7</v>
      </c>
      <c r="J4" s="144" t="s">
        <v>36</v>
      </c>
      <c r="K4" s="170">
        <v>1</v>
      </c>
      <c r="L4" s="159"/>
      <c r="M4" s="171">
        <v>7</v>
      </c>
      <c r="N4" s="172">
        <v>4</v>
      </c>
    </row>
    <row r="5" spans="1:14" s="18" customFormat="1" ht="12.75" x14ac:dyDescent="0.2">
      <c r="A5" s="35">
        <v>5</v>
      </c>
      <c r="B5" s="39">
        <v>45755</v>
      </c>
      <c r="C5" s="42" t="s">
        <v>46</v>
      </c>
      <c r="D5" s="37">
        <v>0.75</v>
      </c>
      <c r="E5" s="35" t="s">
        <v>0</v>
      </c>
      <c r="F5" s="35" t="s">
        <v>9</v>
      </c>
      <c r="G5" s="35" t="s">
        <v>8</v>
      </c>
      <c r="H5" s="35"/>
      <c r="I5" s="35"/>
      <c r="J5" s="53" t="s">
        <v>31</v>
      </c>
      <c r="K5" s="147"/>
      <c r="L5" s="38"/>
      <c r="M5" s="112"/>
      <c r="N5" s="117"/>
    </row>
    <row r="6" spans="1:14" s="18" customFormat="1" ht="12.75" x14ac:dyDescent="0.2">
      <c r="A6" s="36">
        <v>5</v>
      </c>
      <c r="B6" s="39">
        <v>45757</v>
      </c>
      <c r="C6" s="46" t="s">
        <v>43</v>
      </c>
      <c r="D6" s="37">
        <v>0.75</v>
      </c>
      <c r="E6" s="35" t="s">
        <v>0</v>
      </c>
      <c r="F6" s="35" t="s">
        <v>49</v>
      </c>
      <c r="G6" s="35" t="s">
        <v>11</v>
      </c>
      <c r="H6" s="42"/>
      <c r="I6" s="35"/>
      <c r="J6" s="53" t="s">
        <v>31</v>
      </c>
      <c r="K6" s="147"/>
      <c r="L6" s="38"/>
      <c r="M6" s="112"/>
      <c r="N6" s="117"/>
    </row>
    <row r="7" spans="1:14" s="15" customFormat="1" ht="12.75" x14ac:dyDescent="0.2">
      <c r="A7" s="35">
        <v>6</v>
      </c>
      <c r="B7" s="39">
        <v>45766</v>
      </c>
      <c r="C7" s="36" t="s">
        <v>44</v>
      </c>
      <c r="D7" s="41">
        <v>0.58333333333333337</v>
      </c>
      <c r="E7" s="35" t="s">
        <v>0</v>
      </c>
      <c r="F7" s="35" t="s">
        <v>12</v>
      </c>
      <c r="G7" s="35" t="s">
        <v>9</v>
      </c>
      <c r="H7" s="35"/>
      <c r="I7" s="35"/>
      <c r="J7" s="53" t="s">
        <v>92</v>
      </c>
      <c r="K7" s="147"/>
      <c r="L7" s="38"/>
      <c r="M7" s="112"/>
      <c r="N7" s="117"/>
    </row>
    <row r="8" spans="1:14" s="20" customFormat="1" ht="12.75" x14ac:dyDescent="0.2">
      <c r="A8" s="42">
        <v>9</v>
      </c>
      <c r="B8" s="47">
        <v>45787</v>
      </c>
      <c r="C8" s="42" t="s">
        <v>44</v>
      </c>
      <c r="D8" s="46">
        <v>0.45833333333333331</v>
      </c>
      <c r="E8" s="42" t="s">
        <v>0</v>
      </c>
      <c r="F8" s="42" t="s">
        <v>49</v>
      </c>
      <c r="G8" s="42" t="s">
        <v>12</v>
      </c>
      <c r="H8" s="42"/>
      <c r="I8" s="42"/>
      <c r="J8" s="55" t="s">
        <v>31</v>
      </c>
      <c r="K8" s="147"/>
      <c r="L8" s="38"/>
      <c r="M8" s="112"/>
      <c r="N8" s="117"/>
    </row>
    <row r="9" spans="1:14" s="20" customFormat="1" ht="12.75" x14ac:dyDescent="0.2">
      <c r="A9" s="36"/>
      <c r="B9" s="39"/>
      <c r="C9" s="36"/>
      <c r="D9" s="43"/>
      <c r="E9" s="36"/>
      <c r="F9" s="36"/>
      <c r="G9" s="36"/>
      <c r="H9" s="36"/>
      <c r="I9" s="36"/>
      <c r="J9" s="53"/>
      <c r="K9" s="135">
        <f>SUBTOTAL(109,Table11[Win])</f>
        <v>2</v>
      </c>
      <c r="L9" s="136">
        <f>SUBTOTAL(109,Table11[Loss])</f>
        <v>0</v>
      </c>
      <c r="M9" s="133">
        <f>SUBTOTAL(109,Table11[GF])</f>
        <v>17</v>
      </c>
      <c r="N9" s="134">
        <f>SUBTOTAL(109,Table11[GA])</f>
        <v>8</v>
      </c>
    </row>
    <row r="10" spans="1:14" s="20" customFormat="1" ht="12.75" x14ac:dyDescent="0.2">
      <c r="A10" s="125"/>
      <c r="B10" s="123"/>
      <c r="C10" s="94"/>
      <c r="D10" s="10"/>
      <c r="E10" s="125"/>
      <c r="F10" s="125"/>
      <c r="G10" s="10"/>
      <c r="H10" s="125"/>
      <c r="I10" s="10"/>
      <c r="J10" s="126"/>
      <c r="K10" s="124"/>
      <c r="L10" s="124"/>
      <c r="M10" s="124"/>
      <c r="N10" s="124"/>
    </row>
    <row r="11" spans="1:14" s="20" customFormat="1" ht="15.75" customHeight="1" thickBot="1" x14ac:dyDescent="0.3">
      <c r="A11" s="236" t="s">
        <v>71</v>
      </c>
      <c r="B11" s="237"/>
      <c r="C11" s="237"/>
      <c r="D11" s="237"/>
      <c r="E11" s="237"/>
      <c r="F11" s="237"/>
      <c r="G11" s="237"/>
      <c r="H11" s="237"/>
      <c r="I11" s="237"/>
      <c r="J11" s="237"/>
      <c r="K11" s="237"/>
      <c r="L11" s="237"/>
      <c r="M11" s="237"/>
      <c r="N11" s="237"/>
    </row>
    <row r="12" spans="1:14" s="18" customFormat="1" x14ac:dyDescent="0.25">
      <c r="A12" s="29" t="s">
        <v>61</v>
      </c>
      <c r="B12" s="22" t="s">
        <v>23</v>
      </c>
      <c r="C12" s="23" t="s">
        <v>42</v>
      </c>
      <c r="D12" s="24" t="s">
        <v>24</v>
      </c>
      <c r="E12" s="24" t="s">
        <v>63</v>
      </c>
      <c r="F12" s="24" t="s">
        <v>62</v>
      </c>
      <c r="G12" s="25" t="s">
        <v>25</v>
      </c>
      <c r="H12" s="24" t="s">
        <v>41</v>
      </c>
      <c r="I12" s="24" t="s">
        <v>40</v>
      </c>
      <c r="J12" s="26" t="s">
        <v>26</v>
      </c>
      <c r="K12" s="115" t="s">
        <v>99</v>
      </c>
      <c r="L12" s="24" t="s">
        <v>100</v>
      </c>
      <c r="M12" s="24" t="s">
        <v>6</v>
      </c>
      <c r="N12" s="24" t="s">
        <v>7</v>
      </c>
    </row>
    <row r="13" spans="1:14" s="15" customFormat="1" ht="15" customHeight="1" x14ac:dyDescent="0.2">
      <c r="A13" s="140">
        <v>1</v>
      </c>
      <c r="B13" s="141">
        <v>45720</v>
      </c>
      <c r="C13" s="142" t="s">
        <v>46</v>
      </c>
      <c r="D13" s="143">
        <v>0.75</v>
      </c>
      <c r="E13" s="142" t="s">
        <v>27</v>
      </c>
      <c r="F13" s="142" t="s">
        <v>15</v>
      </c>
      <c r="G13" s="142" t="s">
        <v>9</v>
      </c>
      <c r="H13" s="142">
        <f>+Schedule!H3</f>
        <v>3</v>
      </c>
      <c r="I13" s="142">
        <f>+Schedule!I3</f>
        <v>17</v>
      </c>
      <c r="J13" s="144" t="s">
        <v>35</v>
      </c>
      <c r="K13" s="170">
        <v>1</v>
      </c>
      <c r="L13" s="159"/>
      <c r="M13" s="171">
        <f>+Table12[[#This Row],[Away Total]]</f>
        <v>17</v>
      </c>
      <c r="N13" s="172">
        <f>+Table12[[#This Row],[Home Total]]</f>
        <v>3</v>
      </c>
    </row>
    <row r="14" spans="1:14" s="1" customFormat="1" ht="15" customHeight="1" x14ac:dyDescent="0.25">
      <c r="A14" s="142">
        <v>2</v>
      </c>
      <c r="B14" s="145">
        <v>45728</v>
      </c>
      <c r="C14" s="146" t="s">
        <v>47</v>
      </c>
      <c r="D14" s="143">
        <v>0.80208333333333337</v>
      </c>
      <c r="E14" s="142" t="s">
        <v>27</v>
      </c>
      <c r="F14" s="142" t="s">
        <v>8</v>
      </c>
      <c r="G14" s="142" t="s">
        <v>9</v>
      </c>
      <c r="H14" s="142">
        <v>1</v>
      </c>
      <c r="I14" s="142">
        <v>11</v>
      </c>
      <c r="J14" s="144" t="s">
        <v>36</v>
      </c>
      <c r="K14" s="170">
        <v>1</v>
      </c>
      <c r="L14" s="159"/>
      <c r="M14" s="171">
        <v>11</v>
      </c>
      <c r="N14" s="172">
        <v>1</v>
      </c>
    </row>
    <row r="15" spans="1:14" s="1" customFormat="1" ht="15" customHeight="1" x14ac:dyDescent="0.25">
      <c r="A15" s="142">
        <v>3</v>
      </c>
      <c r="B15" s="145">
        <v>45743</v>
      </c>
      <c r="C15" s="142" t="s">
        <v>43</v>
      </c>
      <c r="D15" s="168">
        <v>0.77083333333333337</v>
      </c>
      <c r="E15" s="142" t="s">
        <v>27</v>
      </c>
      <c r="F15" s="142" t="s">
        <v>9</v>
      </c>
      <c r="G15" s="142" t="s">
        <v>16</v>
      </c>
      <c r="H15" s="142">
        <v>15</v>
      </c>
      <c r="I15" s="142">
        <v>3</v>
      </c>
      <c r="J15" s="144" t="s">
        <v>31</v>
      </c>
      <c r="K15" s="170">
        <v>1</v>
      </c>
      <c r="L15" s="159"/>
      <c r="M15" s="171">
        <v>15</v>
      </c>
      <c r="N15" s="172">
        <v>3</v>
      </c>
    </row>
    <row r="16" spans="1:14" s="1" customFormat="1" ht="15" customHeight="1" x14ac:dyDescent="0.25">
      <c r="A16" s="142">
        <v>4</v>
      </c>
      <c r="B16" s="145">
        <v>45750</v>
      </c>
      <c r="C16" s="142" t="s">
        <v>43</v>
      </c>
      <c r="D16" s="143">
        <v>0.75</v>
      </c>
      <c r="E16" s="142" t="s">
        <v>27</v>
      </c>
      <c r="F16" s="142" t="s">
        <v>9</v>
      </c>
      <c r="G16" s="142" t="s">
        <v>19</v>
      </c>
      <c r="H16" s="142">
        <v>14</v>
      </c>
      <c r="I16" s="146">
        <v>2</v>
      </c>
      <c r="J16" s="144" t="s">
        <v>31</v>
      </c>
      <c r="K16" s="170">
        <v>1</v>
      </c>
      <c r="L16" s="159"/>
      <c r="M16" s="171">
        <v>14</v>
      </c>
      <c r="N16" s="172">
        <v>2</v>
      </c>
    </row>
    <row r="17" spans="1:14" s="15" customFormat="1" ht="12.75" x14ac:dyDescent="0.2">
      <c r="A17" s="35">
        <v>5</v>
      </c>
      <c r="B17" s="39">
        <v>45757</v>
      </c>
      <c r="C17" s="42" t="s">
        <v>43</v>
      </c>
      <c r="D17" s="37">
        <v>0.80208333333333337</v>
      </c>
      <c r="E17" s="35" t="s">
        <v>27</v>
      </c>
      <c r="F17" s="35" t="s">
        <v>9</v>
      </c>
      <c r="G17" s="35" t="s">
        <v>11</v>
      </c>
      <c r="H17" s="42"/>
      <c r="I17" s="35"/>
      <c r="J17" s="53" t="s">
        <v>31</v>
      </c>
      <c r="K17" s="147"/>
      <c r="L17" s="38"/>
      <c r="M17" s="112"/>
      <c r="N17" s="117"/>
    </row>
    <row r="18" spans="1:14" s="20" customFormat="1" ht="12.75" x14ac:dyDescent="0.2">
      <c r="A18" s="36">
        <v>6</v>
      </c>
      <c r="B18" s="39">
        <v>45762</v>
      </c>
      <c r="C18" s="36" t="s">
        <v>46</v>
      </c>
      <c r="D18" s="37">
        <v>0.82291666666666663</v>
      </c>
      <c r="E18" s="36" t="s">
        <v>27</v>
      </c>
      <c r="F18" s="36" t="s">
        <v>14</v>
      </c>
      <c r="G18" s="36" t="s">
        <v>9</v>
      </c>
      <c r="H18" s="36"/>
      <c r="I18" s="36"/>
      <c r="J18" s="53" t="s">
        <v>33</v>
      </c>
      <c r="K18" s="147"/>
      <c r="L18" s="38"/>
      <c r="M18" s="112"/>
      <c r="N18" s="117"/>
    </row>
    <row r="19" spans="1:14" s="20" customFormat="1" ht="12.75" x14ac:dyDescent="0.2">
      <c r="A19" s="36">
        <v>7</v>
      </c>
      <c r="B19" s="39">
        <v>45769</v>
      </c>
      <c r="C19" s="36" t="s">
        <v>46</v>
      </c>
      <c r="D19" s="37">
        <v>0.75</v>
      </c>
      <c r="E19" s="36" t="s">
        <v>27</v>
      </c>
      <c r="F19" s="36" t="s">
        <v>9</v>
      </c>
      <c r="G19" s="36" t="s">
        <v>18</v>
      </c>
      <c r="H19" s="36"/>
      <c r="I19" s="36"/>
      <c r="J19" s="53" t="s">
        <v>31</v>
      </c>
      <c r="K19" s="147"/>
      <c r="L19" s="38"/>
      <c r="M19" s="112"/>
      <c r="N19" s="117"/>
    </row>
    <row r="20" spans="1:14" s="20" customFormat="1" ht="12.75" x14ac:dyDescent="0.2">
      <c r="A20" s="42">
        <v>7</v>
      </c>
      <c r="B20" s="39">
        <v>45773</v>
      </c>
      <c r="C20" s="42" t="s">
        <v>44</v>
      </c>
      <c r="D20" s="46" t="s">
        <v>88</v>
      </c>
      <c r="E20" s="36" t="s">
        <v>27</v>
      </c>
      <c r="F20" s="36" t="s">
        <v>21</v>
      </c>
      <c r="G20" s="36" t="s">
        <v>9</v>
      </c>
      <c r="H20" s="36"/>
      <c r="I20" s="36"/>
      <c r="J20" s="204" t="s">
        <v>106</v>
      </c>
      <c r="K20" s="148"/>
      <c r="L20" s="149"/>
      <c r="M20" s="113"/>
      <c r="N20" s="120"/>
    </row>
    <row r="21" spans="1:14" s="20" customFormat="1" ht="12.75" x14ac:dyDescent="0.2">
      <c r="A21" s="42">
        <v>8</v>
      </c>
      <c r="B21" s="39">
        <v>45778</v>
      </c>
      <c r="C21" s="42" t="s">
        <v>43</v>
      </c>
      <c r="D21" s="46">
        <v>0.75</v>
      </c>
      <c r="E21" s="36" t="s">
        <v>27</v>
      </c>
      <c r="F21" s="36" t="s">
        <v>9</v>
      </c>
      <c r="G21" s="36" t="s">
        <v>50</v>
      </c>
      <c r="H21" s="36"/>
      <c r="I21" s="36"/>
      <c r="J21" s="53" t="s">
        <v>31</v>
      </c>
      <c r="K21" s="150"/>
      <c r="L21" s="95"/>
      <c r="M21" s="113"/>
      <c r="N21" s="120"/>
    </row>
    <row r="22" spans="1:14" s="15" customFormat="1" ht="12.75" x14ac:dyDescent="0.2">
      <c r="A22" s="36">
        <v>9</v>
      </c>
      <c r="B22" s="39">
        <v>45784</v>
      </c>
      <c r="C22" s="42" t="s">
        <v>47</v>
      </c>
      <c r="D22" s="37">
        <v>0.79166666666666663</v>
      </c>
      <c r="E22" s="36" t="s">
        <v>27</v>
      </c>
      <c r="F22" s="36" t="s">
        <v>17</v>
      </c>
      <c r="G22" s="36" t="s">
        <v>9</v>
      </c>
      <c r="H22" s="36"/>
      <c r="I22" s="36"/>
      <c r="J22" s="53" t="s">
        <v>38</v>
      </c>
      <c r="K22" s="147"/>
      <c r="L22" s="38"/>
      <c r="M22" s="112"/>
      <c r="N22" s="117"/>
    </row>
    <row r="23" spans="1:14" s="20" customFormat="1" ht="12.75" x14ac:dyDescent="0.2">
      <c r="A23" s="36"/>
      <c r="B23" s="39"/>
      <c r="C23" s="36"/>
      <c r="D23" s="43"/>
      <c r="E23" s="36"/>
      <c r="F23" s="36"/>
      <c r="G23" s="36"/>
      <c r="H23" s="36"/>
      <c r="I23" s="36"/>
      <c r="J23" s="53"/>
      <c r="K23" s="135">
        <f t="shared" ref="K23:N23" si="0">SUBTOTAL(109,K13:K22)</f>
        <v>4</v>
      </c>
      <c r="L23" s="135">
        <f t="shared" si="0"/>
        <v>0</v>
      </c>
      <c r="M23" s="135">
        <f t="shared" si="0"/>
        <v>57</v>
      </c>
      <c r="N23" s="135">
        <f t="shared" si="0"/>
        <v>9</v>
      </c>
    </row>
  </sheetData>
  <mergeCells count="2">
    <mergeCell ref="A11:N11"/>
    <mergeCell ref="A1:N1"/>
  </mergeCells>
  <phoneticPr fontId="8" type="noConversion"/>
  <dataValidations count="1">
    <dataValidation type="list" showInputMessage="1" showErrorMessage="1" sqref="E13:E23 E3:E8" xr:uid="{F73A694A-C54D-4BA0-9DA2-DACABB5CAB4A}">
      <formula1>"JV,V"</formula1>
    </dataValidation>
  </dataValidations>
  <pageMargins left="0.7" right="0.7" top="0.75" bottom="0.75" header="0" footer="0"/>
  <pageSetup scale="67" orientation="landscape" r:id="rId1"/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N13"/>
  <sheetViews>
    <sheetView workbookViewId="0">
      <selection sqref="A1:N1"/>
    </sheetView>
  </sheetViews>
  <sheetFormatPr defaultColWidth="12.5703125" defaultRowHeight="15" customHeight="1" x14ac:dyDescent="0.2"/>
  <cols>
    <col min="1" max="5" width="10.7109375" customWidth="1"/>
    <col min="6" max="9" width="14.7109375" customWidth="1"/>
    <col min="10" max="10" width="62.5703125" bestFit="1" customWidth="1"/>
    <col min="11" max="11" width="9.7109375" customWidth="1"/>
    <col min="12" max="26" width="8.5703125" customWidth="1"/>
  </cols>
  <sheetData>
    <row r="1" spans="1:14" s="1" customFormat="1" ht="15" customHeight="1" thickBot="1" x14ac:dyDescent="0.3">
      <c r="A1" s="236" t="s">
        <v>72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</row>
    <row r="2" spans="1:14" s="1" customFormat="1" ht="15" customHeight="1" x14ac:dyDescent="0.25">
      <c r="A2" s="29" t="s">
        <v>53</v>
      </c>
      <c r="B2" s="22" t="s">
        <v>23</v>
      </c>
      <c r="C2" s="23" t="s">
        <v>42</v>
      </c>
      <c r="D2" s="24" t="s">
        <v>24</v>
      </c>
      <c r="E2" s="24" t="s">
        <v>63</v>
      </c>
      <c r="F2" s="24" t="s">
        <v>62</v>
      </c>
      <c r="G2" s="25" t="s">
        <v>65</v>
      </c>
      <c r="H2" s="24" t="s">
        <v>66</v>
      </c>
      <c r="I2" s="24" t="s">
        <v>40</v>
      </c>
      <c r="J2" s="26" t="s">
        <v>26</v>
      </c>
      <c r="K2" s="115" t="s">
        <v>101</v>
      </c>
      <c r="L2" s="24" t="s">
        <v>100</v>
      </c>
      <c r="M2" s="24" t="s">
        <v>6</v>
      </c>
      <c r="N2" s="24" t="s">
        <v>7</v>
      </c>
    </row>
    <row r="3" spans="1:14" s="1" customFormat="1" ht="15" customHeight="1" x14ac:dyDescent="0.25">
      <c r="A3" s="140">
        <v>1</v>
      </c>
      <c r="B3" s="141">
        <v>45720</v>
      </c>
      <c r="C3" s="142" t="s">
        <v>46</v>
      </c>
      <c r="D3" s="143">
        <v>0.72916666666666663</v>
      </c>
      <c r="E3" s="142" t="s">
        <v>27</v>
      </c>
      <c r="F3" s="142" t="s">
        <v>51</v>
      </c>
      <c r="G3" s="142" t="s">
        <v>50</v>
      </c>
      <c r="H3" s="142">
        <f>+Schedule!H2</f>
        <v>12</v>
      </c>
      <c r="I3" s="142">
        <f>+Schedule!I2</f>
        <v>5</v>
      </c>
      <c r="J3" s="144" t="s">
        <v>32</v>
      </c>
      <c r="K3" s="170"/>
      <c r="L3" s="159">
        <v>1</v>
      </c>
      <c r="M3" s="171">
        <f>+Table15[[#This Row],[Away Total]]</f>
        <v>5</v>
      </c>
      <c r="N3" s="172">
        <f>+Table15[[#This Row],[Home Total ]]</f>
        <v>12</v>
      </c>
    </row>
    <row r="4" spans="1:14" s="1" customFormat="1" ht="15" customHeight="1" x14ac:dyDescent="0.25">
      <c r="A4" s="142">
        <v>1</v>
      </c>
      <c r="B4" s="145">
        <v>45724</v>
      </c>
      <c r="C4" s="146" t="s">
        <v>44</v>
      </c>
      <c r="D4" s="143">
        <v>0.58333333333333337</v>
      </c>
      <c r="E4" s="142" t="s">
        <v>27</v>
      </c>
      <c r="F4" s="142" t="s">
        <v>50</v>
      </c>
      <c r="G4" s="142" t="s">
        <v>12</v>
      </c>
      <c r="H4" s="142">
        <v>0</v>
      </c>
      <c r="I4" s="142">
        <v>1</v>
      </c>
      <c r="J4" s="144" t="s">
        <v>30</v>
      </c>
      <c r="K4" s="170"/>
      <c r="L4" s="159">
        <v>1</v>
      </c>
      <c r="M4" s="171">
        <f>+Table15[[#This Row],[Away Total]]</f>
        <v>1</v>
      </c>
      <c r="N4" s="172">
        <f>+Table15[[#This Row],[Home Total ]]</f>
        <v>0</v>
      </c>
    </row>
    <row r="5" spans="1:14" s="1" customFormat="1" ht="15" customHeight="1" x14ac:dyDescent="0.25">
      <c r="A5" s="200">
        <v>2</v>
      </c>
      <c r="B5" s="201">
        <v>45727</v>
      </c>
      <c r="C5" s="202" t="s">
        <v>46</v>
      </c>
      <c r="D5" s="203">
        <v>0.75</v>
      </c>
      <c r="E5" s="200" t="s">
        <v>27</v>
      </c>
      <c r="F5" s="200" t="s">
        <v>50</v>
      </c>
      <c r="G5" s="200" t="s">
        <v>15</v>
      </c>
      <c r="H5" s="200"/>
      <c r="I5" s="200"/>
      <c r="J5" s="204" t="s">
        <v>29</v>
      </c>
      <c r="K5" s="205"/>
      <c r="L5" s="206"/>
      <c r="M5" s="207"/>
      <c r="N5" s="208"/>
    </row>
    <row r="6" spans="1:14" s="1" customFormat="1" ht="15" customHeight="1" x14ac:dyDescent="0.25">
      <c r="A6" s="142">
        <v>3</v>
      </c>
      <c r="B6" s="145">
        <v>45741</v>
      </c>
      <c r="C6" s="142" t="s">
        <v>46</v>
      </c>
      <c r="D6" s="168">
        <v>0.72916666666666663</v>
      </c>
      <c r="E6" s="142" t="s">
        <v>27</v>
      </c>
      <c r="F6" s="142" t="s">
        <v>50</v>
      </c>
      <c r="G6" s="142" t="s">
        <v>17</v>
      </c>
      <c r="H6" s="142">
        <v>0</v>
      </c>
      <c r="I6" s="142">
        <v>23</v>
      </c>
      <c r="J6" s="144" t="s">
        <v>29</v>
      </c>
      <c r="K6" s="170"/>
      <c r="L6" s="159">
        <v>1</v>
      </c>
      <c r="M6" s="171">
        <v>0</v>
      </c>
      <c r="N6" s="172">
        <v>23</v>
      </c>
    </row>
    <row r="7" spans="1:14" s="1" customFormat="1" ht="15" customHeight="1" x14ac:dyDescent="0.25">
      <c r="A7" s="36">
        <v>4</v>
      </c>
      <c r="B7" s="39">
        <v>45752</v>
      </c>
      <c r="C7" s="36" t="s">
        <v>44</v>
      </c>
      <c r="D7" s="37">
        <v>0.52083333333333337</v>
      </c>
      <c r="E7" s="36" t="s">
        <v>27</v>
      </c>
      <c r="F7" s="36" t="s">
        <v>50</v>
      </c>
      <c r="G7" s="36" t="s">
        <v>21</v>
      </c>
      <c r="H7" s="36"/>
      <c r="I7" s="36"/>
      <c r="J7" s="53" t="s">
        <v>29</v>
      </c>
      <c r="K7" s="147"/>
      <c r="L7" s="38"/>
      <c r="M7" s="112"/>
      <c r="N7" s="117"/>
    </row>
    <row r="8" spans="1:14" s="1" customFormat="1" ht="15" customHeight="1" x14ac:dyDescent="0.25">
      <c r="A8" s="36">
        <v>6</v>
      </c>
      <c r="B8" s="39">
        <v>45762</v>
      </c>
      <c r="C8" s="36" t="s">
        <v>46</v>
      </c>
      <c r="D8" s="37">
        <v>0.75</v>
      </c>
      <c r="E8" s="36" t="s">
        <v>27</v>
      </c>
      <c r="F8" s="36" t="s">
        <v>20</v>
      </c>
      <c r="G8" s="36" t="s">
        <v>50</v>
      </c>
      <c r="H8" s="36"/>
      <c r="I8" s="36"/>
      <c r="J8" s="53" t="s">
        <v>39</v>
      </c>
      <c r="K8" s="147"/>
      <c r="L8" s="38"/>
      <c r="M8" s="112"/>
      <c r="N8" s="117"/>
    </row>
    <row r="9" spans="1:14" s="1" customFormat="1" ht="15" customHeight="1" x14ac:dyDescent="0.25">
      <c r="A9" s="36">
        <v>6</v>
      </c>
      <c r="B9" s="39">
        <v>45764</v>
      </c>
      <c r="C9" s="36" t="s">
        <v>43</v>
      </c>
      <c r="D9" s="37">
        <v>0.77083333333333337</v>
      </c>
      <c r="E9" s="36" t="s">
        <v>27</v>
      </c>
      <c r="F9" s="36" t="s">
        <v>16</v>
      </c>
      <c r="G9" s="36" t="s">
        <v>50</v>
      </c>
      <c r="H9" s="36"/>
      <c r="I9" s="36"/>
      <c r="J9" s="53" t="s">
        <v>37</v>
      </c>
      <c r="K9" s="147"/>
      <c r="L9" s="38"/>
      <c r="M9" s="112"/>
      <c r="N9" s="117"/>
    </row>
    <row r="10" spans="1:14" s="1" customFormat="1" ht="15" customHeight="1" x14ac:dyDescent="0.25">
      <c r="A10" s="36">
        <v>7</v>
      </c>
      <c r="B10" s="39">
        <v>45769</v>
      </c>
      <c r="C10" s="36" t="s">
        <v>46</v>
      </c>
      <c r="D10" s="43">
        <v>0.77083333333333337</v>
      </c>
      <c r="E10" s="36" t="s">
        <v>27</v>
      </c>
      <c r="F10" s="36" t="s">
        <v>50</v>
      </c>
      <c r="G10" s="36" t="s">
        <v>10</v>
      </c>
      <c r="H10" s="36"/>
      <c r="I10" s="36"/>
      <c r="J10" s="53" t="s">
        <v>29</v>
      </c>
      <c r="K10" s="148"/>
      <c r="L10" s="149"/>
      <c r="M10" s="113"/>
      <c r="N10" s="120"/>
    </row>
    <row r="11" spans="1:14" s="1" customFormat="1" ht="15" customHeight="1" x14ac:dyDescent="0.25">
      <c r="A11" s="36">
        <v>7</v>
      </c>
      <c r="B11" s="39">
        <v>45771</v>
      </c>
      <c r="C11" s="42" t="s">
        <v>43</v>
      </c>
      <c r="D11" s="37">
        <v>0.75</v>
      </c>
      <c r="E11" s="36" t="s">
        <v>27</v>
      </c>
      <c r="F11" s="36" t="s">
        <v>11</v>
      </c>
      <c r="G11" s="36" t="s">
        <v>50</v>
      </c>
      <c r="H11" s="42"/>
      <c r="I11" s="36"/>
      <c r="J11" s="53" t="s">
        <v>67</v>
      </c>
      <c r="K11" s="150"/>
      <c r="L11" s="95"/>
      <c r="M11" s="113"/>
      <c r="N11" s="120"/>
    </row>
    <row r="12" spans="1:14" s="1" customFormat="1" ht="15" customHeight="1" x14ac:dyDescent="0.25">
      <c r="A12" s="36">
        <v>8</v>
      </c>
      <c r="B12" s="39">
        <v>45778</v>
      </c>
      <c r="C12" s="36" t="s">
        <v>43</v>
      </c>
      <c r="D12" s="37">
        <v>0.75</v>
      </c>
      <c r="E12" s="36" t="s">
        <v>27</v>
      </c>
      <c r="F12" s="36" t="s">
        <v>9</v>
      </c>
      <c r="G12" s="36" t="s">
        <v>50</v>
      </c>
      <c r="H12" s="36"/>
      <c r="I12" s="36"/>
      <c r="J12" s="53" t="s">
        <v>31</v>
      </c>
      <c r="K12" s="147"/>
      <c r="L12" s="38"/>
      <c r="M12" s="112"/>
      <c r="N12" s="117"/>
    </row>
    <row r="13" spans="1:14" ht="15" customHeight="1" x14ac:dyDescent="0.2">
      <c r="A13" s="36"/>
      <c r="B13" s="39"/>
      <c r="C13" s="36"/>
      <c r="D13" s="43"/>
      <c r="E13" s="36"/>
      <c r="F13" s="36"/>
      <c r="G13" s="36"/>
      <c r="H13" s="36"/>
      <c r="I13" s="36"/>
      <c r="J13" s="53"/>
      <c r="K13" s="135">
        <f>SUBTOTAL(109,Table15[Win])</f>
        <v>0</v>
      </c>
      <c r="L13" s="136">
        <f>SUBTOTAL(109,Table15[Loss])</f>
        <v>3</v>
      </c>
      <c r="M13" s="133">
        <f>SUBTOTAL(109,Table15[GF])</f>
        <v>6</v>
      </c>
      <c r="N13" s="134">
        <f>SUBTOTAL(109,Table15[GA])</f>
        <v>35</v>
      </c>
    </row>
  </sheetData>
  <mergeCells count="1">
    <mergeCell ref="A1:N1"/>
  </mergeCells>
  <phoneticPr fontId="8" type="noConversion"/>
  <dataValidations count="1">
    <dataValidation type="list" showInputMessage="1" showErrorMessage="1" sqref="E3:E12" xr:uid="{78852BAB-5BBE-4357-BF10-1FE0C8DBB159}">
      <formula1>"JV,V"</formula1>
    </dataValidation>
  </dataValidations>
  <pageMargins left="0.7" right="0.7" top="0.75" bottom="0.75" header="0" footer="0"/>
  <pageSetup scale="67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N13"/>
  <sheetViews>
    <sheetView workbookViewId="0">
      <selection activeCell="A4" sqref="A4:N4"/>
    </sheetView>
  </sheetViews>
  <sheetFormatPr defaultColWidth="12.5703125" defaultRowHeight="15" customHeight="1" x14ac:dyDescent="0.2"/>
  <cols>
    <col min="1" max="5" width="10.7109375" customWidth="1"/>
    <col min="6" max="9" width="14.7109375" customWidth="1"/>
    <col min="10" max="10" width="62.5703125" bestFit="1" customWidth="1"/>
    <col min="11" max="14" width="9.7109375" customWidth="1"/>
    <col min="15" max="27" width="17.140625" customWidth="1"/>
  </cols>
  <sheetData>
    <row r="1" spans="1:14" s="1" customFormat="1" ht="15" customHeight="1" thickBot="1" x14ac:dyDescent="0.3">
      <c r="A1" s="236" t="s">
        <v>73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</row>
    <row r="2" spans="1:14" s="1" customFormat="1" ht="15" customHeight="1" x14ac:dyDescent="0.25">
      <c r="A2" s="31" t="s">
        <v>53</v>
      </c>
      <c r="B2" s="22" t="s">
        <v>23</v>
      </c>
      <c r="C2" s="23" t="s">
        <v>42</v>
      </c>
      <c r="D2" s="24" t="s">
        <v>24</v>
      </c>
      <c r="E2" s="24" t="s">
        <v>63</v>
      </c>
      <c r="F2" s="24" t="s">
        <v>62</v>
      </c>
      <c r="G2" s="25" t="s">
        <v>65</v>
      </c>
      <c r="H2" s="24" t="s">
        <v>66</v>
      </c>
      <c r="I2" s="24" t="s">
        <v>40</v>
      </c>
      <c r="J2" s="26" t="s">
        <v>26</v>
      </c>
      <c r="K2" s="115" t="s">
        <v>101</v>
      </c>
      <c r="L2" s="24" t="s">
        <v>100</v>
      </c>
      <c r="M2" s="24" t="s">
        <v>6</v>
      </c>
      <c r="N2" s="24" t="s">
        <v>7</v>
      </c>
    </row>
    <row r="3" spans="1:14" s="1" customFormat="1" ht="15" customHeight="1" x14ac:dyDescent="0.25">
      <c r="A3" s="140">
        <v>1</v>
      </c>
      <c r="B3" s="141">
        <v>45720</v>
      </c>
      <c r="C3" s="142" t="s">
        <v>46</v>
      </c>
      <c r="D3" s="143">
        <v>0.72916666666666663</v>
      </c>
      <c r="E3" s="142" t="s">
        <v>27</v>
      </c>
      <c r="F3" s="142" t="s">
        <v>51</v>
      </c>
      <c r="G3" s="142" t="s">
        <v>50</v>
      </c>
      <c r="H3" s="142">
        <f>+Schedule!H2</f>
        <v>12</v>
      </c>
      <c r="I3" s="142">
        <f>+Schedule!I2</f>
        <v>5</v>
      </c>
      <c r="J3" s="144" t="s">
        <v>32</v>
      </c>
      <c r="K3" s="170">
        <v>1</v>
      </c>
      <c r="L3" s="159"/>
      <c r="M3" s="171">
        <f>+Table16[[#This Row],[Home Total ]]</f>
        <v>12</v>
      </c>
      <c r="N3" s="172">
        <f>+Table16[[#This Row],[Away Total]]</f>
        <v>5</v>
      </c>
    </row>
    <row r="4" spans="1:14" s="1" customFormat="1" ht="15" customHeight="1" x14ac:dyDescent="0.25">
      <c r="A4" s="142">
        <v>2</v>
      </c>
      <c r="B4" s="145">
        <v>45727</v>
      </c>
      <c r="C4" s="142" t="s">
        <v>46</v>
      </c>
      <c r="D4" s="143">
        <v>0.70833333333333337</v>
      </c>
      <c r="E4" s="142" t="s">
        <v>27</v>
      </c>
      <c r="F4" s="142" t="s">
        <v>51</v>
      </c>
      <c r="G4" s="142" t="s">
        <v>17</v>
      </c>
      <c r="H4" s="142">
        <v>2</v>
      </c>
      <c r="I4" s="142">
        <v>14</v>
      </c>
      <c r="J4" s="144" t="s">
        <v>32</v>
      </c>
      <c r="K4" s="170"/>
      <c r="L4" s="159">
        <v>1</v>
      </c>
      <c r="M4" s="171">
        <v>2</v>
      </c>
      <c r="N4" s="172">
        <v>14</v>
      </c>
    </row>
    <row r="5" spans="1:14" s="1" customFormat="1" ht="15" customHeight="1" x14ac:dyDescent="0.25">
      <c r="A5" s="36">
        <v>4</v>
      </c>
      <c r="B5" s="39">
        <v>45752</v>
      </c>
      <c r="C5" s="36" t="s">
        <v>44</v>
      </c>
      <c r="D5" s="41">
        <v>0.625</v>
      </c>
      <c r="E5" s="36" t="s">
        <v>27</v>
      </c>
      <c r="F5" s="36" t="s">
        <v>51</v>
      </c>
      <c r="G5" s="36" t="s">
        <v>21</v>
      </c>
      <c r="H5" s="36"/>
      <c r="I5" s="36"/>
      <c r="J5" s="53" t="s">
        <v>32</v>
      </c>
      <c r="K5" s="147"/>
      <c r="L5" s="38"/>
      <c r="M5" s="112"/>
      <c r="N5" s="117"/>
    </row>
    <row r="6" spans="1:14" s="1" customFormat="1" ht="15" customHeight="1" x14ac:dyDescent="0.25">
      <c r="A6" s="36">
        <v>5</v>
      </c>
      <c r="B6" s="39">
        <v>45757</v>
      </c>
      <c r="C6" s="36" t="s">
        <v>43</v>
      </c>
      <c r="D6" s="37">
        <v>0.75</v>
      </c>
      <c r="E6" s="36" t="s">
        <v>27</v>
      </c>
      <c r="F6" s="36" t="s">
        <v>51</v>
      </c>
      <c r="G6" s="36" t="s">
        <v>20</v>
      </c>
      <c r="H6" s="36"/>
      <c r="I6" s="36"/>
      <c r="J6" s="53" t="s">
        <v>32</v>
      </c>
      <c r="K6" s="147"/>
      <c r="L6" s="38"/>
      <c r="M6" s="112"/>
      <c r="N6" s="117"/>
    </row>
    <row r="7" spans="1:14" s="1" customFormat="1" ht="15" customHeight="1" x14ac:dyDescent="0.25">
      <c r="A7" s="36">
        <v>6</v>
      </c>
      <c r="B7" s="39">
        <v>45761</v>
      </c>
      <c r="C7" s="42" t="s">
        <v>45</v>
      </c>
      <c r="D7" s="43">
        <v>0.78125</v>
      </c>
      <c r="E7" s="36" t="s">
        <v>27</v>
      </c>
      <c r="F7" s="36" t="s">
        <v>19</v>
      </c>
      <c r="G7" s="36" t="s">
        <v>18</v>
      </c>
      <c r="H7" s="36"/>
      <c r="I7" s="36"/>
      <c r="J7" s="53" t="s">
        <v>34</v>
      </c>
      <c r="K7" s="147"/>
      <c r="L7" s="38"/>
      <c r="M7" s="112"/>
      <c r="N7" s="117"/>
    </row>
    <row r="8" spans="1:14" s="1" customFormat="1" ht="15" customHeight="1" x14ac:dyDescent="0.25">
      <c r="A8" s="36">
        <v>6</v>
      </c>
      <c r="B8" s="39">
        <v>45764</v>
      </c>
      <c r="C8" s="36" t="s">
        <v>43</v>
      </c>
      <c r="D8" s="37">
        <v>0.77083333333333337</v>
      </c>
      <c r="E8" s="36" t="s">
        <v>27</v>
      </c>
      <c r="F8" s="36" t="s">
        <v>51</v>
      </c>
      <c r="G8" s="36" t="s">
        <v>10</v>
      </c>
      <c r="H8" s="36"/>
      <c r="I8" s="36"/>
      <c r="J8" s="53" t="s">
        <v>32</v>
      </c>
      <c r="K8" s="147"/>
      <c r="L8" s="38"/>
      <c r="M8" s="112"/>
      <c r="N8" s="117"/>
    </row>
    <row r="9" spans="1:14" s="1" customFormat="1" ht="15" customHeight="1" x14ac:dyDescent="0.25">
      <c r="A9" s="36">
        <v>7</v>
      </c>
      <c r="B9" s="39">
        <v>45769</v>
      </c>
      <c r="C9" s="36" t="s">
        <v>46</v>
      </c>
      <c r="D9" s="37">
        <v>0.75</v>
      </c>
      <c r="E9" s="36" t="s">
        <v>27</v>
      </c>
      <c r="F9" s="36" t="s">
        <v>9</v>
      </c>
      <c r="G9" s="36" t="s">
        <v>18</v>
      </c>
      <c r="H9" s="36"/>
      <c r="I9" s="36"/>
      <c r="J9" s="53" t="s">
        <v>31</v>
      </c>
      <c r="K9" s="147"/>
      <c r="L9" s="38"/>
      <c r="M9" s="112"/>
      <c r="N9" s="117"/>
    </row>
    <row r="10" spans="1:14" s="1" customFormat="1" ht="15" customHeight="1" x14ac:dyDescent="0.25">
      <c r="A10" s="36">
        <v>7</v>
      </c>
      <c r="B10" s="47">
        <v>45773</v>
      </c>
      <c r="C10" s="42" t="s">
        <v>44</v>
      </c>
      <c r="D10" s="46">
        <v>0.45833333333333331</v>
      </c>
      <c r="E10" s="42" t="s">
        <v>27</v>
      </c>
      <c r="F10" s="36" t="s">
        <v>12</v>
      </c>
      <c r="G10" s="36" t="s">
        <v>18</v>
      </c>
      <c r="H10" s="42"/>
      <c r="I10" s="42"/>
      <c r="J10" s="53" t="s">
        <v>67</v>
      </c>
      <c r="K10" s="148"/>
      <c r="L10" s="149"/>
      <c r="M10" s="112"/>
      <c r="N10" s="117"/>
    </row>
    <row r="11" spans="1:14" s="1" customFormat="1" ht="15" customHeight="1" x14ac:dyDescent="0.25">
      <c r="A11" s="36">
        <v>7</v>
      </c>
      <c r="B11" s="39">
        <v>45773</v>
      </c>
      <c r="C11" s="38" t="s">
        <v>44</v>
      </c>
      <c r="D11" s="43">
        <v>0.70833333333333337</v>
      </c>
      <c r="E11" s="36" t="s">
        <v>27</v>
      </c>
      <c r="F11" s="42" t="s">
        <v>11</v>
      </c>
      <c r="G11" s="36" t="s">
        <v>18</v>
      </c>
      <c r="H11" s="42"/>
      <c r="I11" s="42"/>
      <c r="J11" s="53" t="s">
        <v>67</v>
      </c>
      <c r="K11" s="150"/>
      <c r="L11" s="95"/>
      <c r="M11" s="112"/>
      <c r="N11" s="117"/>
    </row>
    <row r="12" spans="1:14" ht="15" customHeight="1" x14ac:dyDescent="0.2">
      <c r="A12" s="36">
        <v>9</v>
      </c>
      <c r="B12" s="39">
        <v>45785</v>
      </c>
      <c r="C12" s="36" t="s">
        <v>43</v>
      </c>
      <c r="D12" s="37">
        <v>0.77083333333333337</v>
      </c>
      <c r="E12" s="36" t="s">
        <v>27</v>
      </c>
      <c r="F12" s="36" t="s">
        <v>16</v>
      </c>
      <c r="G12" s="36" t="s">
        <v>18</v>
      </c>
      <c r="H12" s="36"/>
      <c r="I12" s="36"/>
      <c r="J12" s="53" t="s">
        <v>37</v>
      </c>
      <c r="K12" s="147"/>
      <c r="L12" s="38"/>
      <c r="M12" s="112"/>
      <c r="N12" s="117"/>
    </row>
    <row r="13" spans="1:14" ht="15" customHeight="1" x14ac:dyDescent="0.2">
      <c r="A13" s="36"/>
      <c r="B13" s="39"/>
      <c r="C13" s="36"/>
      <c r="D13" s="43"/>
      <c r="E13" s="36"/>
      <c r="F13" s="36"/>
      <c r="G13" s="36"/>
      <c r="H13" s="36"/>
      <c r="I13" s="36"/>
      <c r="J13" s="53"/>
      <c r="K13" s="135">
        <f>+SUM(K3:K12)</f>
        <v>1</v>
      </c>
      <c r="L13" s="135">
        <f t="shared" ref="L13:N13" si="0">+SUM(L3:L12)</f>
        <v>1</v>
      </c>
      <c r="M13" s="135">
        <f t="shared" si="0"/>
        <v>14</v>
      </c>
      <c r="N13" s="135">
        <f t="shared" si="0"/>
        <v>19</v>
      </c>
    </row>
  </sheetData>
  <mergeCells count="1">
    <mergeCell ref="A1:N1"/>
  </mergeCells>
  <dataValidations count="1">
    <dataValidation type="list" showInputMessage="1" showErrorMessage="1" sqref="E3:E13" xr:uid="{EC1634E4-F1C5-49AA-919C-01A80FF8A3D8}">
      <formula1>"JV,V"</formula1>
    </dataValidation>
  </dataValidations>
  <pageMargins left="0.7" right="0.7" top="0.75" bottom="0.75" header="0" footer="0"/>
  <pageSetup scale="67" orientation="landscape" r:id="rId1"/>
  <headerFooter>
    <oddFooter>&amp;F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1:N13"/>
  <sheetViews>
    <sheetView workbookViewId="0">
      <selection activeCell="H5" sqref="H5:I5"/>
    </sheetView>
  </sheetViews>
  <sheetFormatPr defaultColWidth="12.5703125" defaultRowHeight="15" customHeight="1" x14ac:dyDescent="0.2"/>
  <cols>
    <col min="1" max="5" width="10.7109375" customWidth="1"/>
    <col min="6" max="9" width="14.7109375" customWidth="1"/>
    <col min="10" max="10" width="57.85546875" bestFit="1" customWidth="1"/>
    <col min="11" max="14" width="9.7109375" customWidth="1"/>
    <col min="15" max="26" width="10.7109375" customWidth="1"/>
  </cols>
  <sheetData>
    <row r="1" spans="1:14" s="1" customFormat="1" ht="15" customHeight="1" thickBot="1" x14ac:dyDescent="0.3">
      <c r="A1" s="236" t="s">
        <v>74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</row>
    <row r="2" spans="1:14" s="1" customFormat="1" ht="15" customHeight="1" x14ac:dyDescent="0.25">
      <c r="A2" s="29" t="s">
        <v>53</v>
      </c>
      <c r="B2" s="22" t="s">
        <v>23</v>
      </c>
      <c r="C2" s="23" t="s">
        <v>42</v>
      </c>
      <c r="D2" s="24" t="s">
        <v>24</v>
      </c>
      <c r="E2" s="24" t="s">
        <v>63</v>
      </c>
      <c r="F2" s="24" t="s">
        <v>62</v>
      </c>
      <c r="G2" s="25" t="s">
        <v>65</v>
      </c>
      <c r="H2" s="24" t="s">
        <v>66</v>
      </c>
      <c r="I2" s="24" t="s">
        <v>40</v>
      </c>
      <c r="J2" s="26" t="s">
        <v>26</v>
      </c>
      <c r="K2" s="115" t="s">
        <v>101</v>
      </c>
      <c r="L2" s="24" t="s">
        <v>100</v>
      </c>
      <c r="M2" s="24" t="s">
        <v>6</v>
      </c>
      <c r="N2" s="24" t="s">
        <v>7</v>
      </c>
    </row>
    <row r="3" spans="1:14" s="1" customFormat="1" ht="15" customHeight="1" x14ac:dyDescent="0.25">
      <c r="A3" s="140">
        <v>1</v>
      </c>
      <c r="B3" s="145">
        <v>45720</v>
      </c>
      <c r="C3" s="142" t="s">
        <v>46</v>
      </c>
      <c r="D3" s="143">
        <v>0.75</v>
      </c>
      <c r="E3" s="142" t="s">
        <v>27</v>
      </c>
      <c r="F3" s="142" t="s">
        <v>8</v>
      </c>
      <c r="G3" s="142" t="s">
        <v>14</v>
      </c>
      <c r="H3" s="142">
        <f>+Schedule!H4</f>
        <v>8</v>
      </c>
      <c r="I3" s="142">
        <f>+Schedule!I4</f>
        <v>12</v>
      </c>
      <c r="J3" s="144" t="s">
        <v>36</v>
      </c>
      <c r="K3" s="170">
        <v>1</v>
      </c>
      <c r="L3" s="159"/>
      <c r="M3" s="159">
        <f>+Table18[[#This Row],[Away Total]]</f>
        <v>12</v>
      </c>
      <c r="N3" s="173">
        <f>+Table18[[#This Row],[Home Total ]]</f>
        <v>8</v>
      </c>
    </row>
    <row r="4" spans="1:14" s="1" customFormat="1" ht="15" customHeight="1" x14ac:dyDescent="0.25">
      <c r="A4" s="142">
        <v>1</v>
      </c>
      <c r="B4" s="145">
        <v>45722</v>
      </c>
      <c r="C4" s="142" t="s">
        <v>43</v>
      </c>
      <c r="D4" s="167">
        <v>0.77083333333333337</v>
      </c>
      <c r="E4" s="142" t="s">
        <v>27</v>
      </c>
      <c r="F4" s="142" t="s">
        <v>14</v>
      </c>
      <c r="G4" s="142" t="s">
        <v>17</v>
      </c>
      <c r="H4" s="159">
        <v>16</v>
      </c>
      <c r="I4" s="159">
        <v>3</v>
      </c>
      <c r="J4" s="144" t="s">
        <v>33</v>
      </c>
      <c r="K4" s="170">
        <v>1</v>
      </c>
      <c r="L4" s="159"/>
      <c r="M4" s="159">
        <f>+Table18[[#This Row],[Home Total ]]</f>
        <v>16</v>
      </c>
      <c r="N4" s="173">
        <f>+Table18[[#This Row],[Away Total]]</f>
        <v>3</v>
      </c>
    </row>
    <row r="5" spans="1:14" s="1" customFormat="1" ht="15" customHeight="1" x14ac:dyDescent="0.25">
      <c r="A5" s="142">
        <v>2</v>
      </c>
      <c r="B5" s="145">
        <v>45727</v>
      </c>
      <c r="C5" s="146" t="s">
        <v>46</v>
      </c>
      <c r="D5" s="143">
        <v>0.78125</v>
      </c>
      <c r="E5" s="142" t="s">
        <v>27</v>
      </c>
      <c r="F5" s="142" t="s">
        <v>19</v>
      </c>
      <c r="G5" s="142" t="s">
        <v>14</v>
      </c>
      <c r="H5" s="159">
        <v>3</v>
      </c>
      <c r="I5" s="159">
        <v>16</v>
      </c>
      <c r="J5" s="144" t="s">
        <v>34</v>
      </c>
      <c r="K5" s="170">
        <v>1</v>
      </c>
      <c r="L5" s="159"/>
      <c r="M5" s="159">
        <v>16</v>
      </c>
      <c r="N5" s="173">
        <v>3</v>
      </c>
    </row>
    <row r="6" spans="1:14" s="1" customFormat="1" ht="15" customHeight="1" x14ac:dyDescent="0.25">
      <c r="A6" s="142">
        <v>4</v>
      </c>
      <c r="B6" s="145">
        <v>45748</v>
      </c>
      <c r="C6" s="142" t="s">
        <v>46</v>
      </c>
      <c r="D6" s="143">
        <v>0.77083333333333337</v>
      </c>
      <c r="E6" s="142" t="s">
        <v>27</v>
      </c>
      <c r="F6" s="142" t="s">
        <v>14</v>
      </c>
      <c r="G6" s="142" t="s">
        <v>20</v>
      </c>
      <c r="H6" s="159">
        <v>7</v>
      </c>
      <c r="I6" s="159">
        <v>3</v>
      </c>
      <c r="J6" s="144" t="s">
        <v>33</v>
      </c>
      <c r="K6" s="170">
        <v>1</v>
      </c>
      <c r="L6" s="159"/>
      <c r="M6" s="159">
        <v>7</v>
      </c>
      <c r="N6" s="173">
        <v>3</v>
      </c>
    </row>
    <row r="7" spans="1:14" s="1" customFormat="1" ht="15" customHeight="1" x14ac:dyDescent="0.25">
      <c r="A7" s="36">
        <v>5</v>
      </c>
      <c r="B7" s="39">
        <v>45757</v>
      </c>
      <c r="C7" s="36" t="s">
        <v>43</v>
      </c>
      <c r="D7" s="37">
        <v>0.72916666666666663</v>
      </c>
      <c r="E7" s="36" t="s">
        <v>27</v>
      </c>
      <c r="F7" s="36" t="s">
        <v>10</v>
      </c>
      <c r="G7" s="36" t="s">
        <v>14</v>
      </c>
      <c r="H7" s="38"/>
      <c r="I7" s="38"/>
      <c r="J7" s="53" t="s">
        <v>30</v>
      </c>
      <c r="K7" s="147"/>
      <c r="L7" s="38"/>
      <c r="M7" s="38"/>
      <c r="N7" s="163"/>
    </row>
    <row r="8" spans="1:14" s="1" customFormat="1" ht="15" customHeight="1" x14ac:dyDescent="0.25">
      <c r="A8" s="36">
        <v>5</v>
      </c>
      <c r="B8" s="39">
        <v>45759</v>
      </c>
      <c r="C8" s="36" t="s">
        <v>44</v>
      </c>
      <c r="D8" s="37">
        <v>0.625</v>
      </c>
      <c r="E8" s="36" t="s">
        <v>27</v>
      </c>
      <c r="F8" s="36" t="s">
        <v>14</v>
      </c>
      <c r="G8" s="36" t="s">
        <v>21</v>
      </c>
      <c r="H8" s="38"/>
      <c r="I8" s="38"/>
      <c r="J8" s="53" t="s">
        <v>33</v>
      </c>
      <c r="K8" s="147"/>
      <c r="L8" s="38"/>
      <c r="M8" s="38"/>
      <c r="N8" s="163"/>
    </row>
    <row r="9" spans="1:14" s="1" customFormat="1" ht="15" customHeight="1" x14ac:dyDescent="0.25">
      <c r="A9" s="36">
        <v>6</v>
      </c>
      <c r="B9" s="39">
        <v>45762</v>
      </c>
      <c r="C9" s="36" t="s">
        <v>46</v>
      </c>
      <c r="D9" s="37">
        <v>0.82291666666666663</v>
      </c>
      <c r="E9" s="36" t="s">
        <v>27</v>
      </c>
      <c r="F9" s="36" t="s">
        <v>14</v>
      </c>
      <c r="G9" s="36" t="s">
        <v>9</v>
      </c>
      <c r="H9" s="38"/>
      <c r="I9" s="38"/>
      <c r="J9" s="53" t="s">
        <v>33</v>
      </c>
      <c r="K9" s="147"/>
      <c r="L9" s="38"/>
      <c r="M9" s="38"/>
      <c r="N9" s="163"/>
    </row>
    <row r="10" spans="1:14" s="1" customFormat="1" ht="15" customHeight="1" x14ac:dyDescent="0.25">
      <c r="A10" s="36">
        <v>8</v>
      </c>
      <c r="B10" s="39">
        <v>45779</v>
      </c>
      <c r="C10" s="36" t="s">
        <v>48</v>
      </c>
      <c r="D10" s="37">
        <v>0.75</v>
      </c>
      <c r="E10" s="36" t="s">
        <v>27</v>
      </c>
      <c r="F10" s="36" t="s">
        <v>16</v>
      </c>
      <c r="G10" s="36" t="s">
        <v>14</v>
      </c>
      <c r="H10" s="36"/>
      <c r="I10" s="36"/>
      <c r="J10" s="53" t="s">
        <v>37</v>
      </c>
      <c r="K10" s="148"/>
      <c r="L10" s="149"/>
      <c r="M10" s="38"/>
      <c r="N10" s="163"/>
    </row>
    <row r="11" spans="1:14" s="1" customFormat="1" ht="15" customHeight="1" x14ac:dyDescent="0.25">
      <c r="A11" s="36">
        <v>8</v>
      </c>
      <c r="B11" s="39">
        <v>45780</v>
      </c>
      <c r="C11" s="42" t="s">
        <v>44</v>
      </c>
      <c r="D11" s="37">
        <v>0.5</v>
      </c>
      <c r="E11" s="36" t="s">
        <v>27</v>
      </c>
      <c r="F11" s="36" t="s">
        <v>11</v>
      </c>
      <c r="G11" s="36" t="s">
        <v>14</v>
      </c>
      <c r="H11" s="42"/>
      <c r="I11" s="36"/>
      <c r="J11" s="53" t="s">
        <v>67</v>
      </c>
      <c r="K11" s="150"/>
      <c r="L11" s="95"/>
      <c r="M11" s="38"/>
      <c r="N11" s="163"/>
    </row>
    <row r="12" spans="1:14" s="1" customFormat="1" ht="15" customHeight="1" x14ac:dyDescent="0.25">
      <c r="A12" s="36">
        <v>9</v>
      </c>
      <c r="B12" s="39">
        <v>45787</v>
      </c>
      <c r="C12" s="42" t="s">
        <v>44</v>
      </c>
      <c r="D12" s="37">
        <v>0.625</v>
      </c>
      <c r="E12" s="36" t="s">
        <v>27</v>
      </c>
      <c r="F12" s="36" t="s">
        <v>14</v>
      </c>
      <c r="G12" s="36" t="s">
        <v>12</v>
      </c>
      <c r="H12" s="36"/>
      <c r="I12" s="36"/>
      <c r="J12" s="53" t="s">
        <v>33</v>
      </c>
      <c r="K12" s="147"/>
      <c r="L12" s="38"/>
      <c r="M12" s="38"/>
      <c r="N12" s="163"/>
    </row>
    <row r="13" spans="1:14" s="1" customFormat="1" ht="15" customHeight="1" x14ac:dyDescent="0.25">
      <c r="A13" s="36"/>
      <c r="B13" s="39"/>
      <c r="C13" s="36"/>
      <c r="D13" s="43"/>
      <c r="E13" s="36"/>
      <c r="F13" s="36"/>
      <c r="G13" s="36"/>
      <c r="H13" s="36"/>
      <c r="I13" s="36"/>
      <c r="J13" s="53"/>
      <c r="K13" s="135">
        <f>SUBTOTAL(109,K3:K12)</f>
        <v>4</v>
      </c>
      <c r="L13" s="136">
        <f t="shared" ref="L13:N13" si="0">SUBTOTAL(109,L3:L12)</f>
        <v>0</v>
      </c>
      <c r="M13" s="133">
        <f t="shared" si="0"/>
        <v>51</v>
      </c>
      <c r="N13" s="134">
        <f t="shared" si="0"/>
        <v>17</v>
      </c>
    </row>
  </sheetData>
  <mergeCells count="1">
    <mergeCell ref="A1:N1"/>
  </mergeCells>
  <dataValidations count="1">
    <dataValidation type="list" showInputMessage="1" showErrorMessage="1" sqref="E3:E13" xr:uid="{00D4B03C-2081-40B9-A2AE-09D9AECB4D3C}">
      <formula1>"JV,V"</formula1>
    </dataValidation>
  </dataValidations>
  <pageMargins left="0.7" right="0.7" top="0.75" bottom="0.75" header="0" footer="0"/>
  <pageSetup scale="69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N24"/>
  <sheetViews>
    <sheetView workbookViewId="0">
      <selection activeCell="H18" sqref="H18"/>
    </sheetView>
  </sheetViews>
  <sheetFormatPr defaultColWidth="12.5703125" defaultRowHeight="15" customHeight="1" x14ac:dyDescent="0.2"/>
  <cols>
    <col min="1" max="5" width="10.7109375" customWidth="1"/>
    <col min="6" max="9" width="14.7109375" customWidth="1"/>
    <col min="10" max="10" width="62.5703125" bestFit="1" customWidth="1"/>
    <col min="11" max="14" width="9.7109375" customWidth="1"/>
    <col min="15" max="27" width="8.5703125" customWidth="1"/>
  </cols>
  <sheetData>
    <row r="1" spans="1:14" s="1" customFormat="1" ht="15" customHeight="1" x14ac:dyDescent="0.25">
      <c r="A1" s="236" t="s">
        <v>75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</row>
    <row r="2" spans="1:14" s="1" customFormat="1" ht="15" customHeight="1" thickBot="1" x14ac:dyDescent="0.3">
      <c r="A2" s="62" t="s">
        <v>53</v>
      </c>
      <c r="B2" s="63" t="s">
        <v>23</v>
      </c>
      <c r="C2" s="64" t="s">
        <v>42</v>
      </c>
      <c r="D2" s="65" t="s">
        <v>24</v>
      </c>
      <c r="E2" s="65" t="s">
        <v>63</v>
      </c>
      <c r="F2" s="65" t="s">
        <v>62</v>
      </c>
      <c r="G2" s="66" t="s">
        <v>65</v>
      </c>
      <c r="H2" s="65" t="s">
        <v>66</v>
      </c>
      <c r="I2" s="65" t="s">
        <v>40</v>
      </c>
      <c r="J2" s="67" t="s">
        <v>26</v>
      </c>
      <c r="K2" s="30" t="s">
        <v>101</v>
      </c>
      <c r="L2" s="24" t="s">
        <v>100</v>
      </c>
      <c r="M2" s="24" t="s">
        <v>6</v>
      </c>
      <c r="N2" s="24" t="s">
        <v>7</v>
      </c>
    </row>
    <row r="3" spans="1:14" s="1" customFormat="1" ht="15" customHeight="1" x14ac:dyDescent="0.25">
      <c r="A3" s="178">
        <v>1</v>
      </c>
      <c r="B3" s="179">
        <v>45724</v>
      </c>
      <c r="C3" s="180" t="s">
        <v>44</v>
      </c>
      <c r="D3" s="181">
        <v>0.54166666666666663</v>
      </c>
      <c r="E3" s="180" t="s">
        <v>0</v>
      </c>
      <c r="F3" s="180" t="s">
        <v>49</v>
      </c>
      <c r="G3" s="180" t="s">
        <v>21</v>
      </c>
      <c r="H3" s="180">
        <v>10</v>
      </c>
      <c r="I3" s="180">
        <v>4</v>
      </c>
      <c r="J3" s="182" t="s">
        <v>31</v>
      </c>
      <c r="K3" s="170"/>
      <c r="L3" s="159">
        <v>1</v>
      </c>
      <c r="M3" s="159">
        <v>4</v>
      </c>
      <c r="N3" s="173">
        <v>10</v>
      </c>
    </row>
    <row r="4" spans="1:14" s="1" customFormat="1" ht="15" customHeight="1" x14ac:dyDescent="0.25">
      <c r="A4" s="216">
        <v>3</v>
      </c>
      <c r="B4" s="217">
        <v>45745</v>
      </c>
      <c r="C4" s="218" t="s">
        <v>44</v>
      </c>
      <c r="D4" s="219">
        <v>0.58333333333333337</v>
      </c>
      <c r="E4" s="220" t="s">
        <v>0</v>
      </c>
      <c r="F4" s="220" t="s">
        <v>21</v>
      </c>
      <c r="G4" s="220" t="s">
        <v>8</v>
      </c>
      <c r="H4" s="220">
        <v>5</v>
      </c>
      <c r="I4" s="220">
        <v>6</v>
      </c>
      <c r="J4" s="221" t="s">
        <v>106</v>
      </c>
      <c r="K4" s="170"/>
      <c r="L4" s="159">
        <v>1</v>
      </c>
      <c r="M4" s="159">
        <v>5</v>
      </c>
      <c r="N4" s="173">
        <v>6</v>
      </c>
    </row>
    <row r="5" spans="1:14" s="1" customFormat="1" ht="15" customHeight="1" x14ac:dyDescent="0.25">
      <c r="A5" s="216">
        <v>4</v>
      </c>
      <c r="B5" s="217">
        <v>45750</v>
      </c>
      <c r="C5" s="239" t="s">
        <v>43</v>
      </c>
      <c r="D5" s="219">
        <v>0.72916666666666663</v>
      </c>
      <c r="E5" s="220" t="s">
        <v>0</v>
      </c>
      <c r="F5" s="220" t="s">
        <v>21</v>
      </c>
      <c r="G5" s="220" t="s">
        <v>11</v>
      </c>
      <c r="H5" s="239">
        <v>5</v>
      </c>
      <c r="I5" s="220">
        <v>7</v>
      </c>
      <c r="J5" s="221" t="s">
        <v>109</v>
      </c>
      <c r="K5" s="170"/>
      <c r="L5" s="159">
        <v>1</v>
      </c>
      <c r="M5" s="159">
        <v>5</v>
      </c>
      <c r="N5" s="173">
        <v>7</v>
      </c>
    </row>
    <row r="6" spans="1:14" s="1" customFormat="1" ht="15" customHeight="1" x14ac:dyDescent="0.25">
      <c r="A6" s="68">
        <v>5</v>
      </c>
      <c r="B6" s="98">
        <v>45754</v>
      </c>
      <c r="C6" s="99" t="s">
        <v>45</v>
      </c>
      <c r="D6" s="102">
        <v>0.75</v>
      </c>
      <c r="E6" s="111" t="s">
        <v>0</v>
      </c>
      <c r="F6" s="111" t="s">
        <v>64</v>
      </c>
      <c r="G6" s="111" t="s">
        <v>12</v>
      </c>
      <c r="H6" s="111"/>
      <c r="I6" s="111"/>
      <c r="J6" s="215" t="s">
        <v>110</v>
      </c>
      <c r="K6" s="147"/>
      <c r="L6" s="38"/>
      <c r="M6" s="38"/>
      <c r="N6" s="163"/>
    </row>
    <row r="7" spans="1:14" s="1" customFormat="1" ht="15" customHeight="1" x14ac:dyDescent="0.25">
      <c r="A7" s="68">
        <v>7</v>
      </c>
      <c r="B7" s="98">
        <v>45769</v>
      </c>
      <c r="C7" s="104" t="s">
        <v>46</v>
      </c>
      <c r="D7" s="102">
        <v>0.75</v>
      </c>
      <c r="E7" s="99" t="s">
        <v>0</v>
      </c>
      <c r="F7" s="99" t="s">
        <v>12</v>
      </c>
      <c r="G7" s="99" t="s">
        <v>21</v>
      </c>
      <c r="H7" s="111"/>
      <c r="I7" s="111"/>
      <c r="J7" s="101" t="s">
        <v>92</v>
      </c>
      <c r="K7" s="147"/>
      <c r="L7" s="38"/>
      <c r="M7" s="38"/>
      <c r="N7" s="163"/>
    </row>
    <row r="8" spans="1:14" s="1" customFormat="1" ht="15" customHeight="1" thickBot="1" x14ac:dyDescent="0.3">
      <c r="A8" s="69">
        <v>7</v>
      </c>
      <c r="B8" s="70">
        <v>45773</v>
      </c>
      <c r="C8" s="71" t="s">
        <v>44</v>
      </c>
      <c r="D8" s="72">
        <v>0.58333333333333337</v>
      </c>
      <c r="E8" s="73" t="s">
        <v>0</v>
      </c>
      <c r="F8" s="73" t="s">
        <v>11</v>
      </c>
      <c r="G8" s="73" t="s">
        <v>21</v>
      </c>
      <c r="H8" s="73"/>
      <c r="I8" s="73"/>
      <c r="J8" s="74" t="s">
        <v>67</v>
      </c>
      <c r="K8" s="147"/>
      <c r="L8" s="38"/>
      <c r="M8" s="38"/>
      <c r="N8" s="163"/>
    </row>
    <row r="9" spans="1:14" s="1" customFormat="1" ht="15" customHeight="1" x14ac:dyDescent="0.25">
      <c r="A9" s="36"/>
      <c r="B9" s="39"/>
      <c r="C9" s="36"/>
      <c r="D9" s="43"/>
      <c r="E9" s="36"/>
      <c r="F9" s="36"/>
      <c r="G9" s="36"/>
      <c r="H9" s="36"/>
      <c r="I9" s="36"/>
      <c r="J9" s="53"/>
      <c r="K9" s="165">
        <f>+SUM(K3:K8)</f>
        <v>0</v>
      </c>
      <c r="L9" s="165">
        <f t="shared" ref="L9:N9" si="0">+SUM(L3:L8)</f>
        <v>3</v>
      </c>
      <c r="M9" s="165">
        <f t="shared" si="0"/>
        <v>14</v>
      </c>
      <c r="N9" s="165">
        <f t="shared" si="0"/>
        <v>23</v>
      </c>
    </row>
    <row r="10" spans="1:14" s="1" customFormat="1" ht="15" customHeight="1" x14ac:dyDescent="0.25">
      <c r="A10" s="127"/>
      <c r="B10" s="82"/>
      <c r="C10" s="81"/>
      <c r="D10" s="84"/>
      <c r="E10" s="127"/>
      <c r="F10" s="127"/>
      <c r="G10" s="127"/>
      <c r="H10" s="127"/>
      <c r="I10" s="127"/>
      <c r="J10" s="83"/>
      <c r="K10" s="85"/>
    </row>
    <row r="11" spans="1:14" s="1" customFormat="1" ht="15" customHeight="1" x14ac:dyDescent="0.25">
      <c r="A11" s="21"/>
      <c r="B11" s="6"/>
      <c r="C11" s="8"/>
      <c r="D11" s="2"/>
      <c r="E11" s="3"/>
      <c r="F11" s="3"/>
      <c r="G11" s="3"/>
      <c r="H11" s="4"/>
      <c r="I11" s="4"/>
      <c r="J11" s="3"/>
    </row>
    <row r="12" spans="1:14" s="1" customFormat="1" ht="15" customHeight="1" thickBot="1" x14ac:dyDescent="0.3">
      <c r="A12" s="236" t="s">
        <v>76</v>
      </c>
      <c r="B12" s="237"/>
      <c r="C12" s="237"/>
      <c r="D12" s="237"/>
      <c r="E12" s="237"/>
      <c r="F12" s="237"/>
      <c r="G12" s="237"/>
      <c r="H12" s="237"/>
      <c r="I12" s="237"/>
      <c r="J12" s="237"/>
      <c r="K12" s="237"/>
      <c r="L12" s="237"/>
      <c r="M12" s="237"/>
      <c r="N12" s="237"/>
    </row>
    <row r="13" spans="1:14" s="1" customFormat="1" ht="15" customHeight="1" thickBot="1" x14ac:dyDescent="0.3">
      <c r="A13" s="75" t="s">
        <v>53</v>
      </c>
      <c r="B13" s="76" t="s">
        <v>23</v>
      </c>
      <c r="C13" s="77" t="s">
        <v>42</v>
      </c>
      <c r="D13" s="78" t="s">
        <v>24</v>
      </c>
      <c r="E13" s="78" t="s">
        <v>63</v>
      </c>
      <c r="F13" s="78" t="s">
        <v>62</v>
      </c>
      <c r="G13" s="79" t="s">
        <v>65</v>
      </c>
      <c r="H13" s="78" t="s">
        <v>66</v>
      </c>
      <c r="I13" s="78" t="s">
        <v>40</v>
      </c>
      <c r="J13" s="80" t="s">
        <v>26</v>
      </c>
      <c r="K13" s="115" t="s">
        <v>99</v>
      </c>
      <c r="L13" s="24" t="s">
        <v>100</v>
      </c>
      <c r="M13" s="24" t="s">
        <v>6</v>
      </c>
      <c r="N13" s="24" t="s">
        <v>7</v>
      </c>
    </row>
    <row r="14" spans="1:14" s="1" customFormat="1" ht="15" customHeight="1" x14ac:dyDescent="0.25">
      <c r="A14" s="183">
        <v>1</v>
      </c>
      <c r="B14" s="184">
        <v>45724</v>
      </c>
      <c r="C14" s="185" t="s">
        <v>44</v>
      </c>
      <c r="D14" s="186">
        <v>0.66666666666666663</v>
      </c>
      <c r="E14" s="187" t="s">
        <v>27</v>
      </c>
      <c r="F14" s="187" t="s">
        <v>17</v>
      </c>
      <c r="G14" s="187" t="s">
        <v>21</v>
      </c>
      <c r="H14" s="187">
        <v>13</v>
      </c>
      <c r="I14" s="187">
        <v>6</v>
      </c>
      <c r="J14" s="188" t="s">
        <v>91</v>
      </c>
      <c r="K14" s="174"/>
      <c r="L14" s="159">
        <v>1</v>
      </c>
      <c r="M14" s="171">
        <v>6</v>
      </c>
      <c r="N14" s="172">
        <v>13</v>
      </c>
    </row>
    <row r="15" spans="1:14" s="1" customFormat="1" ht="15" customHeight="1" x14ac:dyDescent="0.25">
      <c r="A15" s="97">
        <v>4</v>
      </c>
      <c r="B15" s="98">
        <v>45752</v>
      </c>
      <c r="C15" s="99" t="s">
        <v>44</v>
      </c>
      <c r="D15" s="100">
        <v>0.625</v>
      </c>
      <c r="E15" s="99" t="s">
        <v>27</v>
      </c>
      <c r="F15" s="99" t="s">
        <v>51</v>
      </c>
      <c r="G15" s="99" t="s">
        <v>21</v>
      </c>
      <c r="H15" s="99"/>
      <c r="I15" s="99"/>
      <c r="J15" s="101" t="s">
        <v>32</v>
      </c>
      <c r="K15" s="118"/>
      <c r="L15" s="36"/>
      <c r="M15" s="112"/>
      <c r="N15" s="117"/>
    </row>
    <row r="16" spans="1:14" s="1" customFormat="1" ht="15" customHeight="1" x14ac:dyDescent="0.25">
      <c r="A16" s="97">
        <v>4</v>
      </c>
      <c r="B16" s="98">
        <v>45752</v>
      </c>
      <c r="C16" s="99" t="s">
        <v>44</v>
      </c>
      <c r="D16" s="102">
        <v>0.52083333333333337</v>
      </c>
      <c r="E16" s="99" t="s">
        <v>27</v>
      </c>
      <c r="F16" s="99" t="s">
        <v>50</v>
      </c>
      <c r="G16" s="99" t="s">
        <v>21</v>
      </c>
      <c r="H16" s="99"/>
      <c r="I16" s="99"/>
      <c r="J16" s="101" t="s">
        <v>29</v>
      </c>
      <c r="K16" s="118"/>
      <c r="L16" s="36"/>
      <c r="M16" s="112"/>
      <c r="N16" s="117"/>
    </row>
    <row r="17" spans="1:14" s="1" customFormat="1" ht="15" customHeight="1" x14ac:dyDescent="0.25">
      <c r="A17" s="97">
        <v>5</v>
      </c>
      <c r="B17" s="98">
        <v>45756</v>
      </c>
      <c r="C17" s="99" t="s">
        <v>47</v>
      </c>
      <c r="D17" s="102">
        <v>0.75</v>
      </c>
      <c r="E17" s="99" t="s">
        <v>27</v>
      </c>
      <c r="F17" s="99" t="s">
        <v>21</v>
      </c>
      <c r="G17" s="99" t="s">
        <v>12</v>
      </c>
      <c r="H17" s="99"/>
      <c r="I17" s="99"/>
      <c r="J17" s="101" t="s">
        <v>90</v>
      </c>
      <c r="K17" s="116"/>
      <c r="L17" s="40"/>
      <c r="M17" s="112"/>
      <c r="N17" s="117"/>
    </row>
    <row r="18" spans="1:14" s="1" customFormat="1" ht="15" customHeight="1" x14ac:dyDescent="0.25">
      <c r="A18" s="97">
        <v>5</v>
      </c>
      <c r="B18" s="98">
        <v>45759</v>
      </c>
      <c r="C18" s="99" t="s">
        <v>44</v>
      </c>
      <c r="D18" s="102">
        <v>0.625</v>
      </c>
      <c r="E18" s="99" t="s">
        <v>27</v>
      </c>
      <c r="F18" s="99" t="s">
        <v>14</v>
      </c>
      <c r="G18" s="99" t="s">
        <v>21</v>
      </c>
      <c r="H18" s="99"/>
      <c r="I18" s="99"/>
      <c r="J18" s="101" t="s">
        <v>33</v>
      </c>
      <c r="K18" s="118"/>
      <c r="L18" s="36"/>
      <c r="M18" s="112"/>
      <c r="N18" s="117"/>
    </row>
    <row r="19" spans="1:14" s="1" customFormat="1" ht="15" customHeight="1" x14ac:dyDescent="0.25">
      <c r="A19" s="97">
        <v>5</v>
      </c>
      <c r="B19" s="98">
        <v>45759</v>
      </c>
      <c r="C19" s="99" t="s">
        <v>44</v>
      </c>
      <c r="D19" s="102">
        <v>0.48958333333333331</v>
      </c>
      <c r="E19" s="99" t="s">
        <v>27</v>
      </c>
      <c r="F19" s="99" t="s">
        <v>8</v>
      </c>
      <c r="G19" s="99" t="s">
        <v>21</v>
      </c>
      <c r="H19" s="99"/>
      <c r="I19" s="99"/>
      <c r="J19" s="101" t="s">
        <v>36</v>
      </c>
      <c r="K19" s="118"/>
      <c r="L19" s="36"/>
      <c r="M19" s="112"/>
      <c r="N19" s="117"/>
    </row>
    <row r="20" spans="1:14" s="1" customFormat="1" ht="15" customHeight="1" x14ac:dyDescent="0.25">
      <c r="A20" s="103">
        <v>7</v>
      </c>
      <c r="B20" s="98">
        <v>45773</v>
      </c>
      <c r="C20" s="104" t="s">
        <v>44</v>
      </c>
      <c r="D20" s="105" t="s">
        <v>88</v>
      </c>
      <c r="E20" s="99" t="s">
        <v>27</v>
      </c>
      <c r="F20" s="99" t="s">
        <v>21</v>
      </c>
      <c r="G20" s="99" t="s">
        <v>9</v>
      </c>
      <c r="H20" s="99"/>
      <c r="I20" s="99"/>
      <c r="J20" s="215" t="s">
        <v>110</v>
      </c>
      <c r="K20" s="118"/>
      <c r="L20" s="36"/>
      <c r="M20" s="112"/>
      <c r="N20" s="117"/>
    </row>
    <row r="21" spans="1:14" s="1" customFormat="1" ht="15" customHeight="1" x14ac:dyDescent="0.25">
      <c r="A21" s="103">
        <v>8</v>
      </c>
      <c r="B21" s="98">
        <v>45780</v>
      </c>
      <c r="C21" s="104" t="s">
        <v>44</v>
      </c>
      <c r="D21" s="105">
        <v>0.54166666666666663</v>
      </c>
      <c r="E21" s="99" t="s">
        <v>27</v>
      </c>
      <c r="F21" s="99" t="s">
        <v>21</v>
      </c>
      <c r="G21" s="99" t="s">
        <v>15</v>
      </c>
      <c r="H21" s="104"/>
      <c r="I21" s="99"/>
      <c r="J21" s="101" t="s">
        <v>90</v>
      </c>
      <c r="K21" s="119"/>
      <c r="L21" s="45"/>
      <c r="M21" s="112"/>
      <c r="N21" s="117"/>
    </row>
    <row r="22" spans="1:14" s="1" customFormat="1" ht="15" customHeight="1" x14ac:dyDescent="0.25">
      <c r="A22" s="97">
        <v>9</v>
      </c>
      <c r="B22" s="98">
        <v>45787</v>
      </c>
      <c r="C22" s="99" t="s">
        <v>44</v>
      </c>
      <c r="D22" s="102">
        <v>0.54166666666666663</v>
      </c>
      <c r="E22" s="99" t="s">
        <v>27</v>
      </c>
      <c r="F22" s="99" t="s">
        <v>21</v>
      </c>
      <c r="G22" s="99" t="s">
        <v>20</v>
      </c>
      <c r="H22" s="99"/>
      <c r="I22" s="99"/>
      <c r="J22" s="101" t="s">
        <v>90</v>
      </c>
      <c r="K22" s="121"/>
      <c r="L22" s="89"/>
      <c r="M22" s="112"/>
      <c r="N22" s="117"/>
    </row>
    <row r="23" spans="1:14" s="1" customFormat="1" ht="15" customHeight="1" x14ac:dyDescent="0.25">
      <c r="A23" s="106">
        <v>9</v>
      </c>
      <c r="B23" s="107">
        <v>45787</v>
      </c>
      <c r="C23" s="108" t="s">
        <v>44</v>
      </c>
      <c r="D23" s="109">
        <v>0.625</v>
      </c>
      <c r="E23" s="108" t="s">
        <v>27</v>
      </c>
      <c r="F23" s="108" t="s">
        <v>21</v>
      </c>
      <c r="G23" s="108" t="s">
        <v>10</v>
      </c>
      <c r="H23" s="108"/>
      <c r="I23" s="108"/>
      <c r="J23" s="110" t="s">
        <v>90</v>
      </c>
      <c r="K23" s="122"/>
      <c r="L23" s="42"/>
      <c r="M23" s="112"/>
      <c r="N23" s="117"/>
    </row>
    <row r="24" spans="1:14" ht="12.75" x14ac:dyDescent="0.2">
      <c r="A24" s="36"/>
      <c r="B24" s="39"/>
      <c r="C24" s="36"/>
      <c r="D24" s="43"/>
      <c r="E24" s="36"/>
      <c r="F24" s="36"/>
      <c r="G24" s="36"/>
      <c r="H24" s="36"/>
      <c r="I24" s="36"/>
      <c r="J24" s="53"/>
      <c r="K24" s="135">
        <f t="shared" ref="K24" si="1">+SUM(K14:K23)</f>
        <v>0</v>
      </c>
      <c r="L24" s="135">
        <f t="shared" ref="L24" si="2">+SUM(L14:L23)</f>
        <v>1</v>
      </c>
      <c r="M24" s="135">
        <f t="shared" ref="M24" si="3">+SUM(M14:M23)</f>
        <v>6</v>
      </c>
      <c r="N24" s="135">
        <f t="shared" ref="N24" si="4">+SUM(N14:N23)</f>
        <v>13</v>
      </c>
    </row>
  </sheetData>
  <mergeCells count="2">
    <mergeCell ref="A12:N12"/>
    <mergeCell ref="A1:N1"/>
  </mergeCells>
  <phoneticPr fontId="8" type="noConversion"/>
  <dataValidations count="1">
    <dataValidation type="list" showInputMessage="1" showErrorMessage="1" sqref="E14:E24 E3:E10" xr:uid="{C1F2E590-CE79-48E2-925E-F2D44D66AC0F}">
      <formula1>"JV,V"</formula1>
    </dataValidation>
  </dataValidations>
  <pageMargins left="0.7" right="0.7" top="0.75" bottom="0.75" header="0" footer="0"/>
  <pageSetup scale="67" orientation="landscape" r:id="rId1"/>
  <tableParts count="2">
    <tablePart r:id="rId2"/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A1:N21"/>
  <sheetViews>
    <sheetView workbookViewId="0">
      <selection activeCell="N7" sqref="N7"/>
    </sheetView>
  </sheetViews>
  <sheetFormatPr defaultColWidth="12.5703125" defaultRowHeight="15" customHeight="1" x14ac:dyDescent="0.2"/>
  <cols>
    <col min="1" max="5" width="10.7109375" customWidth="1"/>
    <col min="6" max="9" width="14.7109375" customWidth="1"/>
    <col min="10" max="10" width="54.140625" bestFit="1" customWidth="1"/>
    <col min="11" max="14" width="9.7109375" customWidth="1"/>
    <col min="15" max="27" width="8.5703125" customWidth="1"/>
  </cols>
  <sheetData>
    <row r="1" spans="1:14" s="1" customFormat="1" ht="15" customHeight="1" thickBot="1" x14ac:dyDescent="0.3">
      <c r="A1" s="236" t="s">
        <v>77</v>
      </c>
      <c r="B1" s="237"/>
      <c r="C1" s="237"/>
      <c r="D1" s="237"/>
      <c r="E1" s="237"/>
      <c r="F1" s="237"/>
      <c r="G1" s="237"/>
      <c r="H1" s="214"/>
      <c r="I1" s="214"/>
      <c r="J1" s="214"/>
      <c r="K1" s="214"/>
      <c r="L1" s="214"/>
      <c r="M1" s="214"/>
      <c r="N1" s="214"/>
    </row>
    <row r="2" spans="1:14" s="1" customFormat="1" ht="15" customHeight="1" x14ac:dyDescent="0.25">
      <c r="A2" s="29" t="s">
        <v>53</v>
      </c>
      <c r="B2" s="22" t="s">
        <v>23</v>
      </c>
      <c r="C2" s="23" t="s">
        <v>42</v>
      </c>
      <c r="D2" s="24" t="s">
        <v>24</v>
      </c>
      <c r="E2" s="24" t="s">
        <v>63</v>
      </c>
      <c r="F2" s="24" t="s">
        <v>62</v>
      </c>
      <c r="G2" s="25" t="s">
        <v>65</v>
      </c>
      <c r="H2" s="24" t="s">
        <v>66</v>
      </c>
      <c r="I2" s="24" t="s">
        <v>40</v>
      </c>
      <c r="J2" s="27" t="s">
        <v>26</v>
      </c>
      <c r="K2" s="115" t="s">
        <v>101</v>
      </c>
      <c r="L2" s="24" t="s">
        <v>100</v>
      </c>
      <c r="M2" s="24" t="s">
        <v>6</v>
      </c>
      <c r="N2" s="24" t="s">
        <v>7</v>
      </c>
    </row>
    <row r="3" spans="1:14" s="1" customFormat="1" ht="15" customHeight="1" x14ac:dyDescent="0.25">
      <c r="A3" s="140">
        <v>1</v>
      </c>
      <c r="B3" s="141">
        <v>45720</v>
      </c>
      <c r="C3" s="142" t="s">
        <v>46</v>
      </c>
      <c r="D3" s="143">
        <v>0.75</v>
      </c>
      <c r="E3" s="142" t="s">
        <v>27</v>
      </c>
      <c r="F3" s="142" t="s">
        <v>15</v>
      </c>
      <c r="G3" s="142" t="s">
        <v>9</v>
      </c>
      <c r="H3" s="142">
        <f>+Table57[[#This Row],[Home Total]]</f>
        <v>3</v>
      </c>
      <c r="I3" s="142">
        <f>+Table57[[#This Row],[Away Total]]</f>
        <v>17</v>
      </c>
      <c r="J3" s="144" t="s">
        <v>35</v>
      </c>
      <c r="K3" s="170"/>
      <c r="L3" s="159">
        <v>1</v>
      </c>
      <c r="M3" s="171">
        <f>+Table21[[#This Row],[Home Total ]]</f>
        <v>3</v>
      </c>
      <c r="N3" s="172">
        <f>+Table21[[#This Row],[Away Total]]</f>
        <v>17</v>
      </c>
    </row>
    <row r="4" spans="1:14" s="1" customFormat="1" ht="15" customHeight="1" x14ac:dyDescent="0.25">
      <c r="A4" s="140">
        <v>1</v>
      </c>
      <c r="B4" s="145">
        <v>45722</v>
      </c>
      <c r="C4" s="146" t="s">
        <v>43</v>
      </c>
      <c r="D4" s="143">
        <v>0.75</v>
      </c>
      <c r="E4" s="140" t="s">
        <v>27</v>
      </c>
      <c r="F4" s="140" t="s">
        <v>20</v>
      </c>
      <c r="G4" s="140" t="s">
        <v>15</v>
      </c>
      <c r="H4" s="146">
        <v>2</v>
      </c>
      <c r="I4" s="140">
        <v>5</v>
      </c>
      <c r="J4" s="144" t="s">
        <v>39</v>
      </c>
      <c r="K4" s="170">
        <v>1</v>
      </c>
      <c r="L4" s="159"/>
      <c r="M4" s="171">
        <f>+Table21[[#This Row],[Away Total]]</f>
        <v>5</v>
      </c>
      <c r="N4" s="172">
        <f>+Table21[[#This Row],[Home Total ]]</f>
        <v>2</v>
      </c>
    </row>
    <row r="5" spans="1:14" s="1" customFormat="1" ht="15" customHeight="1" x14ac:dyDescent="0.25">
      <c r="A5" s="200">
        <v>2</v>
      </c>
      <c r="B5" s="201">
        <v>45727</v>
      </c>
      <c r="C5" s="202" t="s">
        <v>46</v>
      </c>
      <c r="D5" s="203">
        <v>0.75</v>
      </c>
      <c r="E5" s="200" t="s">
        <v>27</v>
      </c>
      <c r="F5" s="200" t="s">
        <v>50</v>
      </c>
      <c r="G5" s="200" t="s">
        <v>15</v>
      </c>
      <c r="H5" s="200"/>
      <c r="I5" s="200"/>
      <c r="J5" s="204" t="s">
        <v>29</v>
      </c>
      <c r="K5" s="205"/>
      <c r="L5" s="206"/>
      <c r="M5" s="207"/>
      <c r="N5" s="208"/>
    </row>
    <row r="6" spans="1:14" s="1" customFormat="1" ht="15" customHeight="1" x14ac:dyDescent="0.25">
      <c r="A6" s="142">
        <v>4</v>
      </c>
      <c r="B6" s="145">
        <v>45748</v>
      </c>
      <c r="C6" s="228" t="s">
        <v>46</v>
      </c>
      <c r="D6" s="143">
        <v>0.79166666666666663</v>
      </c>
      <c r="E6" s="142" t="s">
        <v>27</v>
      </c>
      <c r="F6" s="142" t="s">
        <v>17</v>
      </c>
      <c r="G6" s="142" t="s">
        <v>15</v>
      </c>
      <c r="H6" s="142">
        <v>9</v>
      </c>
      <c r="I6" s="142">
        <v>7</v>
      </c>
      <c r="J6" s="144" t="s">
        <v>38</v>
      </c>
      <c r="K6" s="170"/>
      <c r="L6" s="159">
        <v>1</v>
      </c>
      <c r="M6" s="171">
        <v>7</v>
      </c>
      <c r="N6" s="172">
        <v>9</v>
      </c>
    </row>
    <row r="7" spans="1:14" s="1" customFormat="1" ht="15" customHeight="1" x14ac:dyDescent="0.25">
      <c r="A7" s="36">
        <v>5</v>
      </c>
      <c r="B7" s="39">
        <v>45755</v>
      </c>
      <c r="C7" s="44" t="s">
        <v>46</v>
      </c>
      <c r="D7" s="37">
        <v>0.72916666666666663</v>
      </c>
      <c r="E7" s="36" t="s">
        <v>27</v>
      </c>
      <c r="F7" s="36" t="s">
        <v>15</v>
      </c>
      <c r="G7" s="36" t="s">
        <v>16</v>
      </c>
      <c r="H7" s="36"/>
      <c r="I7" s="36"/>
      <c r="J7" s="53" t="s">
        <v>35</v>
      </c>
      <c r="K7" s="147"/>
      <c r="L7" s="38"/>
      <c r="M7" s="112"/>
      <c r="N7" s="117"/>
    </row>
    <row r="8" spans="1:14" s="1" customFormat="1" ht="15" customHeight="1" x14ac:dyDescent="0.25">
      <c r="A8" s="36">
        <v>5</v>
      </c>
      <c r="B8" s="39">
        <v>45758</v>
      </c>
      <c r="C8" s="44" t="s">
        <v>48</v>
      </c>
      <c r="D8" s="37">
        <v>0.64583333333333337</v>
      </c>
      <c r="E8" s="36" t="s">
        <v>27</v>
      </c>
      <c r="F8" s="36" t="s">
        <v>12</v>
      </c>
      <c r="G8" s="36" t="s">
        <v>15</v>
      </c>
      <c r="H8" s="36"/>
      <c r="I8" s="36"/>
      <c r="J8" s="53" t="s">
        <v>89</v>
      </c>
      <c r="K8" s="147"/>
      <c r="L8" s="38"/>
      <c r="M8" s="112"/>
      <c r="N8" s="117"/>
    </row>
    <row r="9" spans="1:14" s="1" customFormat="1" ht="15" customHeight="1" x14ac:dyDescent="0.25">
      <c r="A9" s="36">
        <v>7</v>
      </c>
      <c r="B9" s="39">
        <v>45770</v>
      </c>
      <c r="C9" s="44" t="s">
        <v>47</v>
      </c>
      <c r="D9" s="37">
        <v>0.72916666666666663</v>
      </c>
      <c r="E9" s="36" t="s">
        <v>27</v>
      </c>
      <c r="F9" s="36" t="s">
        <v>15</v>
      </c>
      <c r="G9" s="36" t="s">
        <v>19</v>
      </c>
      <c r="H9" s="36"/>
      <c r="I9" s="36"/>
      <c r="J9" s="53" t="s">
        <v>35</v>
      </c>
      <c r="K9" s="147"/>
      <c r="L9" s="38"/>
      <c r="M9" s="112"/>
      <c r="N9" s="117"/>
    </row>
    <row r="10" spans="1:14" s="1" customFormat="1" ht="15" customHeight="1" x14ac:dyDescent="0.25">
      <c r="A10" s="35">
        <v>8</v>
      </c>
      <c r="B10" s="39">
        <v>45776</v>
      </c>
      <c r="C10" s="42" t="s">
        <v>46</v>
      </c>
      <c r="D10" s="41">
        <v>0.80208333333333337</v>
      </c>
      <c r="E10" s="35" t="s">
        <v>27</v>
      </c>
      <c r="F10" s="35" t="s">
        <v>15</v>
      </c>
      <c r="G10" s="35" t="s">
        <v>11</v>
      </c>
      <c r="H10" s="35"/>
      <c r="I10" s="35"/>
      <c r="J10" s="53" t="s">
        <v>39</v>
      </c>
      <c r="K10" s="148"/>
      <c r="L10" s="149"/>
      <c r="M10" s="112"/>
      <c r="N10" s="117"/>
    </row>
    <row r="11" spans="1:14" s="1" customFormat="1" ht="15" customHeight="1" x14ac:dyDescent="0.25">
      <c r="A11" s="42">
        <v>8</v>
      </c>
      <c r="B11" s="39">
        <v>45780</v>
      </c>
      <c r="C11" s="42" t="s">
        <v>44</v>
      </c>
      <c r="D11" s="46">
        <v>0.54166666666666663</v>
      </c>
      <c r="E11" s="36" t="s">
        <v>27</v>
      </c>
      <c r="F11" s="36" t="s">
        <v>21</v>
      </c>
      <c r="G11" s="36" t="s">
        <v>15</v>
      </c>
      <c r="H11" s="42"/>
      <c r="I11" s="36"/>
      <c r="J11" s="53" t="s">
        <v>90</v>
      </c>
      <c r="K11" s="150"/>
      <c r="L11" s="95"/>
      <c r="M11" s="112"/>
      <c r="N11" s="117"/>
    </row>
    <row r="12" spans="1:14" ht="15" customHeight="1" x14ac:dyDescent="0.2">
      <c r="A12" s="36">
        <v>9</v>
      </c>
      <c r="B12" s="39">
        <v>45783</v>
      </c>
      <c r="C12" s="36" t="s">
        <v>46</v>
      </c>
      <c r="D12" s="37">
        <v>0.77083333333333337</v>
      </c>
      <c r="E12" s="36" t="s">
        <v>27</v>
      </c>
      <c r="F12" s="36" t="s">
        <v>15</v>
      </c>
      <c r="G12" s="36" t="s">
        <v>8</v>
      </c>
      <c r="H12" s="36"/>
      <c r="I12" s="36"/>
      <c r="J12" s="53" t="s">
        <v>35</v>
      </c>
      <c r="K12" s="147"/>
      <c r="L12" s="38"/>
      <c r="M12" s="112"/>
      <c r="N12" s="117"/>
    </row>
    <row r="13" spans="1:14" ht="15" customHeight="1" x14ac:dyDescent="0.2">
      <c r="A13" s="36"/>
      <c r="B13" s="39"/>
      <c r="C13" s="36"/>
      <c r="D13" s="43"/>
      <c r="E13" s="36"/>
      <c r="F13" s="36"/>
      <c r="G13" s="36"/>
      <c r="H13" s="36"/>
      <c r="I13" s="36"/>
      <c r="J13" s="53"/>
      <c r="K13" s="135">
        <f>+SUM(Table21[Win])</f>
        <v>1</v>
      </c>
      <c r="L13" s="136">
        <f>+SUM(Table21[Loss])</f>
        <v>2</v>
      </c>
      <c r="M13" s="133">
        <f>+SUM(Table21[GF])</f>
        <v>15</v>
      </c>
      <c r="N13" s="134">
        <f>SUBTOTAL(109,Table21[GA])</f>
        <v>28</v>
      </c>
    </row>
    <row r="21" spans="6:6" ht="15" customHeight="1" x14ac:dyDescent="0.2">
      <c r="F21" t="s">
        <v>107</v>
      </c>
    </row>
  </sheetData>
  <mergeCells count="1">
    <mergeCell ref="A1:G1"/>
  </mergeCells>
  <dataValidations count="1">
    <dataValidation type="list" showInputMessage="1" showErrorMessage="1" sqref="E3:E12" xr:uid="{BAFC4184-53CF-4CD4-B38D-553F5D98EC67}">
      <formula1>"JV,V"</formula1>
    </dataValidation>
  </dataValidations>
  <pageMargins left="0.7" right="0.7" top="0.75" bottom="0.75" header="0" footer="0"/>
  <pageSetup scale="7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U o V Z W j b j P x + l A A A A 9 w A A A B I A H A B D b 2 5 m a W c v U G F j a 2 F n Z S 5 4 b W w g o h g A K K A U A A A A A A A A A A A A A A A A A A A A A A A A A A A A h Y 8 x D o I w G I W v Q r r T F h g E U s r g K o k J 0 b g 2 p U I j / B h a L H d z 8 E h e Q Y y i b o 7 v e 9 / w 3 v 1 6 Y / n U t d 5 F D U b 3 k K E A U + Q p k H 2 l o c 7 Q a I 9 + j H L O t k K e R K 2 8 W Q a T T q b K U G P t O S X E O Y d d h P u h J i G l A T k U m 1 I 2 q h P o I + v / s q / B W A F S I c 7 2 r z E 8 x E G U 4 C B e J Z g y s l B W a P g a 4 T z 4 2 f 5 A t h 5 b O w 6 K K / B 3 J S N L Z O R 9 g j 8 A U E s D B B Q A A g A I A F K F W V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S h V l a K I p H u A 4 A A A A R A A A A E w A c A E Z v c m 1 1 b G F z L 1 N l Y 3 R p b 2 4 x L m 0 g o h g A K K A U A A A A A A A A A A A A A A A A A A A A A A A A A A A A K 0 5 N L s n M z 1 M I h t C G 1 g B Q S w E C L Q A U A A I A C A B S h V l a N u M / H 6 U A A A D 3 A A A A E g A A A A A A A A A A A A A A A A A A A A A A Q 2 9 u Z m l n L 1 B h Y 2 t h Z 2 U u e G 1 s U E s B A i 0 A F A A C A A g A U o V Z W g / K 6 a u k A A A A 6 Q A A A B M A A A A A A A A A A A A A A A A A 8 Q A A A F t D b 2 5 0 Z W 5 0 X 1 R 5 c G V z X S 5 4 b W x Q S w E C L Q A U A A I A C A B S h V l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v M L H Z g 2 + b k W j O Y 2 N b z 1 x 1 A A A A A A C A A A A A A A D Z g A A w A A A A B A A A A D 7 L 3 h e / M G O i U p t w s T 9 B + 2 M A A A A A A S A A A C g A A A A E A A A A J y C r U l T o 3 s M H J C d / y 3 q m h V Q A A A A 4 n H D Q 1 / q V a v L X / A P 6 V G k t 2 Y a 6 x O / 8 6 g l K q o V i j N w 2 w 9 Z g B M J W n z G T j i w m t X C 6 i q 5 f h z H l l z S i A 4 H Q + n Z P m 0 M H w q a V J G P P f y Y C u R Y m R s Q c s U U A A A A P F L W t o j h o S A 1 6 k S C T D g S z 3 p 9 w Y Y = < / D a t a M a s h u p > 
</file>

<file path=customXml/itemProps1.xml><?xml version="1.0" encoding="utf-8"?>
<ds:datastoreItem xmlns:ds="http://schemas.openxmlformats.org/officeDocument/2006/customXml" ds:itemID="{455F02E2-BCBF-4401-9027-AE06B8D5AF7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16</vt:i4>
      </vt:variant>
    </vt:vector>
  </HeadingPairs>
  <TitlesOfParts>
    <vt:vector size="32" baseType="lpstr">
      <vt:lpstr>Standings</vt:lpstr>
      <vt:lpstr>Schedule</vt:lpstr>
      <vt:lpstr>BK</vt:lpstr>
      <vt:lpstr>Boise</vt:lpstr>
      <vt:lpstr>Capital</vt:lpstr>
      <vt:lpstr>Centennial</vt:lpstr>
      <vt:lpstr>Eagle</vt:lpstr>
      <vt:lpstr>Idaho</vt:lpstr>
      <vt:lpstr>Middle</vt:lpstr>
      <vt:lpstr>Mtn View</vt:lpstr>
      <vt:lpstr>Owyhee</vt:lpstr>
      <vt:lpstr>Rocky</vt:lpstr>
      <vt:lpstr>Sun V</vt:lpstr>
      <vt:lpstr>Teton V</vt:lpstr>
      <vt:lpstr>Timber</vt:lpstr>
      <vt:lpstr>Vallivue</vt:lpstr>
      <vt:lpstr>BK!Print_Area</vt:lpstr>
      <vt:lpstr>Boise!Print_Area</vt:lpstr>
      <vt:lpstr>Capital!Print_Area</vt:lpstr>
      <vt:lpstr>Centennial!Print_Area</vt:lpstr>
      <vt:lpstr>Eagle!Print_Area</vt:lpstr>
      <vt:lpstr>Idaho!Print_Area</vt:lpstr>
      <vt:lpstr>Middle!Print_Area</vt:lpstr>
      <vt:lpstr>'Mtn View'!Print_Area</vt:lpstr>
      <vt:lpstr>Owyhee!Print_Area</vt:lpstr>
      <vt:lpstr>Rocky!Print_Area</vt:lpstr>
      <vt:lpstr>Schedule!Print_Area</vt:lpstr>
      <vt:lpstr>'Sun V'!Print_Area</vt:lpstr>
      <vt:lpstr>'Teton V'!Print_Area</vt:lpstr>
      <vt:lpstr>Timber!Print_Area</vt:lpstr>
      <vt:lpstr>Vallivue!Print_Area</vt:lpstr>
      <vt:lpstr>Schedule!Print_Titles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Keil</dc:creator>
  <cp:lastModifiedBy>Anita Keil</cp:lastModifiedBy>
  <cp:lastPrinted>2025-03-08T17:22:53Z</cp:lastPrinted>
  <dcterms:created xsi:type="dcterms:W3CDTF">2024-01-27T18:20:01Z</dcterms:created>
  <dcterms:modified xsi:type="dcterms:W3CDTF">2025-04-04T03:50:20Z</dcterms:modified>
</cp:coreProperties>
</file>